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투자사 리서치" sheetId="3" state="visible" r:id="rId5"/>
    <sheet name="파이프라인" sheetId="4" state="visible" r:id="rId6"/>
    <sheet name="전환율" sheetId="5" state="visible" r:id="rId7"/>
    <sheet name="부결 사유 분석" sheetId="6" state="visible" r:id="rId8"/>
    <sheet name="다음 할 일" sheetId="7" state="visible" r:id="rId9"/>
    <sheet name="미팅 기록" sheetId="8" state="visible" r:id="rId10"/>
    <sheet name="자료 발송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<sst xmlns="http://schemas.openxmlformats.org/spreadsheetml/2006/main" count="275" uniqueCount="234">
  <si>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</si>
  <si>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K-04 </t>
    </r>
    <r>
      <rPr>
        <i val="true"/>
        <sz val="9"/>
        <color rgb="FF6B6B70"/>
        <rFont val="Noto Sans CJK SC"/>
        <family val="2"/>
      </rPr>
      <t xml:space="preserve">투자유치 관리 시트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</si>
  <si>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</si>
  <si>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「투자사 리서치」 탭에 만날 곳을 먼저 조사해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펀드 만기와 소진율까지 보십시오 — 만기가 가까운 펀드는 신규 투자를 안 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</si>
  <si>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「파이프라인」 탭에 한 줄씩 옮기고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단계를 지날 때마다 그 날짜를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단계 이름이 아니라 날짜입니다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</si>
  <si>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「전환율」 탭이 그 날짜들을 세어 실제 전환율을 냅니다</t>
    </r>
    <r>
      <rPr>
        <sz val="10"/>
        <color rgb="FF111114"/>
        <rFont val="Arial"/>
        <family val="0"/>
        <charset val="1"/>
      </rPr>
      <t xml:space="preserve">. 20</t>
    </r>
    <r>
      <rPr>
        <sz val="10"/>
        <color rgb="FF111114"/>
        <rFont val="Noto Sans CJK SC"/>
        <family val="2"/>
      </rPr>
      <t xml:space="preserve">곳쯤 쌓이면 다음 라운드에 몇 곳을 만나야 하는지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</si>
  <si>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미팅과 자료 발송은 그날 안에 「미팅 기록」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「자료 발송」에 남기십시오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</si>
  <si>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「다음 할 일」 탭은 파이프라인에서 자동으로 뽑힙니다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따로 옮겨 적지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</si>
  <si>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</si>
  <si>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</si>
  <si>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</si>
  <si>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</si>
  <si>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</si>
  <si>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</si>
  <si>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</si>
  <si>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</si>
  <si>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</si>
  <si>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</si>
  <si>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</si>
  <si>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</si>
  <si>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</si>
  <si>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</si>
  <si>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</si>
  <si>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</si>
  <si>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</si>
  <si>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</si>
  <si>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</si>
  <si>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</si>
  <si>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</si>
  <si>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</si>
  <si>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</si>
  <si>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</si>
  <si>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</si>
  <si>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</si>
  <si>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</si>
  <si>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</si>
  <si>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</si>
  <si>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답하는 것</t>
  </si>
  <si>
    <r>
      <rPr>
        <i val="true"/>
        <sz val="9"/>
        <color rgb="FF6B6B70"/>
        <rFont val="Noto Sans CJK SC"/>
        <family val="2"/>
      </rPr>
      <t xml:space="preserve">투자유치는 기억으로 관리하면 반드시 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</si>
  <si>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지금 몇 곳과 이야기하고 있고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각각 어디까지 갔는가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</si>
  <si>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어느 단계에서 가장 많이 떨어지는가 — 그리고 그게 우리 문제인가 시장 문제인가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</si>
  <si>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약속한 자료를 기한 안에 보냈는가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여기서 가장 많이 죽습니다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</si>
  <si>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다음 라운드에 몇 곳을 만나야 하는가</t>
    </r>
  </si>
  <si>
    <t xml:space="preserve">단계를 날짜로 적는 이유</t>
  </si>
  <si>
    <r>
      <rPr>
        <sz val="10"/>
        <color rgb="FF111114"/>
        <rFont val="Noto Sans CJK SC"/>
        <family val="2"/>
      </rPr>
      <t xml:space="preserve">「지금 어느 단계인가」만 적으면 전환율을 낼 수 없습니다</t>
    </r>
    <r>
      <rPr>
        <sz val="10"/>
        <color rgb="FF111114"/>
        <rFont val="Arial"/>
        <family val="0"/>
        <charset val="1"/>
      </rPr>
      <t xml:space="preserve">. 2</t>
    </r>
    <r>
      <rPr>
        <sz val="10"/>
        <color rgb="FF111114"/>
        <rFont val="Noto Sans CJK SC"/>
        <family val="2"/>
      </rPr>
      <t xml:space="preserve">차 미팅까지 갔다가 떨어진 곳은 「부결」로 바뀌어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차 미팅 칸에서 사라지기 때문입니다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이 시트는 단계마다 「그 단계에 도달한 날짜」를 따로 받습니다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날짜가 찍힌 칸을 세면 떨어진 곳까지 포함해 정확한 전환율이 나옵니다</t>
    </r>
    <r>
      <rPr>
        <sz val="10"/>
        <color rgb="FF111114"/>
        <rFont val="Arial"/>
        <family val="0"/>
        <charset val="1"/>
      </rPr>
      <t xml:space="preserve">.</t>
    </r>
  </si>
  <si>
    <t xml:space="preserve">부결 사유를 반드시 적으십시오</t>
  </si>
  <si>
    <r>
      <rPr>
        <sz val="10"/>
        <color rgb="FF111114"/>
        <rFont val="Noto Sans CJK SC"/>
        <family val="2"/>
      </rPr>
      <t xml:space="preserve">이 시트에서 가장 값어치 있는 데이터입니다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부결 사유 스무 건이 모이면 </t>
    </r>
    <r>
      <rPr>
        <sz val="10"/>
        <color rgb="FF111114"/>
        <rFont val="Arial"/>
        <family val="0"/>
        <charset val="1"/>
      </rPr>
      <t xml:space="preserve">IR </t>
    </r>
    <r>
      <rPr>
        <sz val="10"/>
        <color rgb="FF111114"/>
        <rFont val="Noto Sans CJK SC"/>
        <family val="2"/>
      </rPr>
      <t xml:space="preserve">덱의 어디를 고쳐야 하는지가 저절로 드러납니다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같은 이유가 세 번 나오면 그건 그 투자사의 취향이 아니라 우리 덱의 구멍입니다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</si>
  <si>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</si>
  <si>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</si>
  <si>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</si>
  <si>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</si>
  <si>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</si>
  <si>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</si>
  <si>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</si>
  <si>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</si>
  <si>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</si>
  <si>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관리 구조를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투자 자문이나 주선은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</si>
  <si>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투자사 리서치</t>
  </si>
  <si>
    <r>
      <rPr>
        <i val="true"/>
        <sz val="9"/>
        <color rgb="FF6B6B70"/>
        <rFont val="Noto Sans CJK SC"/>
        <family val="2"/>
      </rPr>
      <t xml:space="preserve">만나기 전에 조사합니다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펀드 만기와 소진율을 모르면 헛걸음합니다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</si>
  <si>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투자사</t>
  </si>
  <si>
    <t xml:space="preserve">유형</t>
  </si>
  <si>
    <t xml:space="preserve">관심 분야</t>
  </si>
  <si>
    <t xml:space="preserve">티켓 사이즈</t>
  </si>
  <si>
    <t xml:space="preserve">펀드 결성</t>
  </si>
  <si>
    <t xml:space="preserve">펀드 만기</t>
  </si>
  <si>
    <t xml:space="preserve">소진율</t>
  </si>
  <si>
    <r>
      <rPr>
        <b val="true"/>
        <sz val="10"/>
        <color rgb="FF111114"/>
        <rFont val="Arial"/>
        <family val="0"/>
        <charset val="1"/>
      </rPr>
      <t xml:space="preserve">TIPS </t>
    </r>
    <r>
      <rPr>
        <b val="true"/>
        <sz val="10"/>
        <color rgb="FF111114"/>
        <rFont val="Noto Sans CJK SC"/>
        <family val="2"/>
      </rPr>
      <t xml:space="preserve">운영사</t>
    </r>
  </si>
  <si>
    <t xml:space="preserve">창업기획자 등록</t>
  </si>
  <si>
    <t xml:space="preserve">적합도</t>
  </si>
  <si>
    <t xml:space="preserve">메모</t>
  </si>
  <si>
    <t xml:space="preserve">가나벤처스</t>
  </si>
  <si>
    <t xml:space="preserve">VC</t>
  </si>
  <si>
    <r>
      <rPr>
        <sz val="10"/>
        <color rgb="FF0000FF"/>
        <rFont val="Noto Sans CJK SC"/>
        <family val="2"/>
      </rPr>
      <t xml:space="preserve">딥테크</t>
    </r>
    <r>
      <rPr>
        <sz val="10"/>
        <color rgb="FF0000FF"/>
        <rFont val="Arial"/>
        <family val="0"/>
        <charset val="1"/>
      </rPr>
      <t xml:space="preserve">·B2B SaaS</t>
    </r>
  </si>
  <si>
    <t xml:space="preserve">예</t>
  </si>
  <si>
    <t xml:space="preserve">높음</t>
  </si>
  <si>
    <r>
      <rPr>
        <sz val="10"/>
        <color rgb="FF0000FF"/>
        <rFont val="Noto Sans CJK SC"/>
        <family val="2"/>
      </rPr>
      <t xml:space="preserve">시드</t>
    </r>
    <r>
      <rPr>
        <sz val="10"/>
        <color rgb="FF0000FF"/>
        <rFont val="Arial"/>
        <family val="0"/>
        <charset val="1"/>
      </rPr>
      <t xml:space="preserve">~</t>
    </r>
    <r>
      <rPr>
        <sz val="10"/>
        <color rgb="FF0000FF"/>
        <rFont val="Noto Sans CJK SC"/>
        <family val="2"/>
      </rPr>
      <t xml:space="preserve">프리</t>
    </r>
    <r>
      <rPr>
        <sz val="10"/>
        <color rgb="FF0000FF"/>
        <rFont val="Arial"/>
        <family val="0"/>
        <charset val="1"/>
      </rPr>
      <t xml:space="preserve">A </t>
    </r>
    <r>
      <rPr>
        <sz val="10"/>
        <color rgb="FF0000FF"/>
        <rFont val="Noto Sans CJK SC"/>
        <family val="2"/>
      </rPr>
      <t xml:space="preserve">리드 가능</t>
    </r>
  </si>
  <si>
    <t xml:space="preserve">나다파트너스</t>
  </si>
  <si>
    <t xml:space="preserve">AC</t>
  </si>
  <si>
    <t xml:space="preserve">초기 전 분야</t>
  </si>
  <si>
    <t xml:space="preserve">보통</t>
  </si>
  <si>
    <r>
      <rPr>
        <sz val="10"/>
        <color rgb="FF0000FF"/>
        <rFont val="Arial"/>
        <family val="0"/>
        <charset val="1"/>
      </rPr>
      <t xml:space="preserve">TIPS </t>
    </r>
    <r>
      <rPr>
        <sz val="10"/>
        <color rgb="FF0000FF"/>
        <rFont val="Noto Sans CJK SC"/>
        <family val="2"/>
      </rPr>
      <t xml:space="preserve">추천 가능</t>
    </r>
  </si>
  <si>
    <t xml:space="preserve">다라인베스트</t>
  </si>
  <si>
    <r>
      <rPr>
        <sz val="10"/>
        <color rgb="FF0000FF"/>
        <rFont val="Noto Sans CJK SC"/>
        <family val="2"/>
      </rPr>
      <t xml:space="preserve">소비재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플랫폼</t>
    </r>
  </si>
  <si>
    <t xml:space="preserve">아니오</t>
  </si>
  <si>
    <t xml:space="preserve">낮음</t>
  </si>
  <si>
    <r>
      <rPr>
        <sz val="10"/>
        <color rgb="FF0000FF"/>
        <rFont val="Noto Sans CJK SC"/>
        <family val="2"/>
      </rPr>
      <t xml:space="preserve">만기 임박 </t>
    </r>
    <r>
      <rPr>
        <sz val="10"/>
        <color rgb="FF0000FF"/>
        <rFont val="Arial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신규 투자 어려움</t>
    </r>
  </si>
  <si>
    <t xml:space="preserve">조사한 투자사</t>
  </si>
  <si>
    <t xml:space="preserve">적합도 「높음」</t>
  </si>
  <si>
    <r>
      <rPr>
        <b val="true"/>
        <sz val="10"/>
        <color rgb="FF111114"/>
        <rFont val="Noto Sans CJK SC"/>
        <family val="2"/>
      </rPr>
      <t xml:space="preserve">소진율 </t>
    </r>
    <r>
      <rPr>
        <b val="true"/>
        <sz val="10"/>
        <color rgb="FF111114"/>
        <rFont val="Arial"/>
        <family val="0"/>
        <charset val="1"/>
      </rPr>
      <t xml:space="preserve">80% </t>
    </r>
    <r>
      <rPr>
        <b val="true"/>
        <sz val="10"/>
        <color rgb="FF111114"/>
        <rFont val="Noto Sans CJK SC"/>
        <family val="2"/>
      </rPr>
      <t xml:space="preserve">이상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신규 어려움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</si>
  <si>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만기 </t>
    </r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년 이내</t>
    </r>
  </si>
  <si>
    <t xml:space="preserve">조사할 때 보는 것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</si>
  <si>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펀드 만기가 </t>
    </r>
    <r>
      <rPr>
        <sz val="10"/>
        <color rgb="FF111114"/>
        <rFont val="Arial"/>
        <family val="0"/>
        <charset val="1"/>
      </rPr>
      <t xml:space="preserve">2~3</t>
    </r>
    <r>
      <rPr>
        <sz val="10"/>
        <color rgb="FF111114"/>
        <rFont val="Noto Sans CJK SC"/>
        <family val="2"/>
      </rPr>
      <t xml:space="preserve">년 남았고 소진율이 </t>
    </r>
    <r>
      <rPr>
        <sz val="10"/>
        <color rgb="FF111114"/>
        <rFont val="Arial"/>
        <family val="0"/>
        <charset val="1"/>
      </rPr>
      <t xml:space="preserve">80%</t>
    </r>
    <r>
      <rPr>
        <sz val="10"/>
        <color rgb="FF111114"/>
        <rFont val="Noto Sans CJK SC"/>
        <family val="2"/>
      </rPr>
      <t xml:space="preserve">를 넘으면 신규 투자는 거의 안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티켓 사이즈보다 이걸 먼저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</si>
  <si>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TIPS </t>
    </r>
    <r>
      <rPr>
        <sz val="10"/>
        <color rgb="FF111114"/>
        <rFont val="Noto Sans CJK SC"/>
        <family val="2"/>
      </rPr>
      <t xml:space="preserve">운영사인지 — 운영사의 선투자와 추천이 있어야 </t>
    </r>
    <r>
      <rPr>
        <sz val="10"/>
        <color rgb="FF111114"/>
        <rFont val="Arial"/>
        <family val="0"/>
        <charset val="1"/>
      </rPr>
      <t xml:space="preserve">TIPS </t>
    </r>
    <r>
      <rPr>
        <sz val="10"/>
        <color rgb="FF111114"/>
        <rFont val="Noto Sans CJK SC"/>
        <family val="2"/>
      </rPr>
      <t xml:space="preserve">에 갈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우리가 </t>
    </r>
    <r>
      <rPr>
        <sz val="10"/>
        <color rgb="FF111114"/>
        <rFont val="Arial"/>
        <family val="0"/>
        <charset val="1"/>
      </rPr>
      <t xml:space="preserve">TIPS </t>
    </r>
    <r>
      <rPr>
        <sz val="10"/>
        <color rgb="FF111114"/>
        <rFont val="Noto Sans CJK SC"/>
        <family val="2"/>
      </rPr>
      <t xml:space="preserve">를 노린다면 이 열이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순위 필터입니다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</si>
  <si>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창업기획자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액셀러레이터</t>
    </r>
    <r>
      <rPr>
        <sz val="10"/>
        <color rgb="FF111114"/>
        <rFont val="Arial"/>
        <family val="0"/>
        <charset val="1"/>
      </rPr>
      <t xml:space="preserve">) </t>
    </r>
    <r>
      <rPr>
        <sz val="10"/>
        <color rgb="FF111114"/>
        <rFont val="Noto Sans CJK SC"/>
        <family val="2"/>
      </rPr>
      <t xml:space="preserve">등록 여부 — 등록 </t>
    </r>
    <r>
      <rPr>
        <sz val="10"/>
        <color rgb="FF111114"/>
        <rFont val="Arial"/>
        <family val="0"/>
        <charset val="1"/>
      </rPr>
      <t xml:space="preserve">AC </t>
    </r>
    <r>
      <rPr>
        <sz val="10"/>
        <color rgb="FF111114"/>
        <rFont val="Noto Sans CJK SC"/>
        <family val="2"/>
      </rPr>
      <t xml:space="preserve">는 초기 기업 의무 투자 비율이 있어 시드 단계에 적극적입니다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</si>
  <si>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모태펀드 출자 조합은 청년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지방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여성 등 특정 대상 의무 투자 비율이 붙는 경우가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우리가 그 대상이면 강점이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</si>
  <si>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최근 포트폴리오에 우리와 직접 경쟁하는 회사가 있으면 이해상충으로 어려울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인접 영역이면 오히려 이해가 빨라 유리한 경우가 많습니다 — 직접 경쟁인지 인접인지를 구분해서 보십시오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</si>
  <si>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파이프라인</t>
  </si>
  <si>
    <r>
      <rPr>
        <i val="true"/>
        <sz val="9"/>
        <color rgb="FF6B6B70"/>
        <rFont val="Noto Sans CJK SC"/>
        <family val="2"/>
      </rPr>
      <t xml:space="preserve">단계 이름 대신 「그 단계에 도달한 날짜」를 적으십시오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그래야 전환율이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</si>
  <si>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담당 심사역</t>
  </si>
  <si>
    <t xml:space="preserve">콜드컨택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</si>
  <si>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차 미팅</t>
    </r>
  </si>
  <si>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차 미팅</t>
    </r>
  </si>
  <si>
    <t xml:space="preserve">실사</t>
  </si>
  <si>
    <t xml:space="preserve">투심 상정</t>
  </si>
  <si>
    <t xml:space="preserve">결과일</t>
  </si>
  <si>
    <t xml:space="preserve">결과</t>
  </si>
  <si>
    <t xml:space="preserve">희망 투자금액</t>
  </si>
  <si>
    <t xml:space="preserve">다음 할 일</t>
  </si>
  <si>
    <t xml:space="preserve">기한</t>
  </si>
  <si>
    <t xml:space="preserve">부결 사유 분류</t>
  </si>
  <si>
    <r>
      <rPr>
        <b val="true"/>
        <sz val="10"/>
        <color rgb="FF111114"/>
        <rFont val="Noto Sans CJK SC"/>
        <family val="2"/>
      </rPr>
      <t xml:space="preserve">부결 사유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그대로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</si>
  <si>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정렬키</t>
  </si>
  <si>
    <r>
      <rPr>
        <sz val="10"/>
        <color rgb="FF0000FF"/>
        <rFont val="Noto Sans CJK SC"/>
        <family val="2"/>
      </rPr>
      <t xml:space="preserve">김</t>
    </r>
    <r>
      <rPr>
        <sz val="10"/>
        <color rgb="FF0000FF"/>
        <rFont val="Arial"/>
        <family val="0"/>
        <charset val="1"/>
      </rPr>
      <t xml:space="preserve">OO</t>
    </r>
  </si>
  <si>
    <t xml:space="preserve">진행 중</t>
  </si>
  <si>
    <r>
      <rPr>
        <sz val="10"/>
        <color rgb="FF0000FF"/>
        <rFont val="Arial"/>
        <family val="0"/>
        <charset val="1"/>
      </rPr>
      <t xml:space="preserve">2</t>
    </r>
    <r>
      <rPr>
        <sz val="10"/>
        <color rgb="FF0000FF"/>
        <rFont val="Noto Sans CJK SC"/>
        <family val="2"/>
      </rPr>
      <t xml:space="preserve">차 미팅 자료 보완</t>
    </r>
  </si>
  <si>
    <r>
      <rPr>
        <sz val="10"/>
        <color rgb="FF0000FF"/>
        <rFont val="Noto Sans CJK SC"/>
        <family val="2"/>
      </rPr>
      <t xml:space="preserve">이</t>
    </r>
    <r>
      <rPr>
        <sz val="10"/>
        <color rgb="FF0000FF"/>
        <rFont val="Arial"/>
        <family val="0"/>
        <charset val="1"/>
      </rPr>
      <t xml:space="preserve">OO</t>
    </r>
  </si>
  <si>
    <r>
      <rPr>
        <sz val="10"/>
        <color rgb="FF0000FF"/>
        <rFont val="Arial"/>
        <family val="0"/>
        <charset val="1"/>
      </rPr>
      <t xml:space="preserve">IR </t>
    </r>
    <r>
      <rPr>
        <sz val="10"/>
        <color rgb="FF0000FF"/>
        <rFont val="Noto Sans CJK SC"/>
        <family val="2"/>
      </rPr>
      <t xml:space="preserve">자료 발송</t>
    </r>
  </si>
  <si>
    <r>
      <rPr>
        <sz val="10"/>
        <color rgb="FF0000FF"/>
        <rFont val="Noto Sans CJK SC"/>
        <family val="2"/>
      </rPr>
      <t xml:space="preserve">박</t>
    </r>
    <r>
      <rPr>
        <sz val="10"/>
        <color rgb="FF0000FF"/>
        <rFont val="Arial"/>
        <family val="0"/>
        <charset val="1"/>
      </rPr>
      <t xml:space="preserve">OO</t>
    </r>
  </si>
  <si>
    <t xml:space="preserve">부결</t>
  </si>
  <si>
    <t xml:space="preserve">트랙션 부족</t>
  </si>
  <si>
    <r>
      <rPr>
        <sz val="10"/>
        <color rgb="FF0000FF"/>
        <rFont val="Noto Sans CJK SC"/>
        <family val="2"/>
      </rPr>
      <t xml:space="preserve">월 매출 추세가 </t>
    </r>
    <r>
      <rPr>
        <sz val="10"/>
        <color rgb="FF0000FF"/>
        <rFont val="Arial"/>
        <family val="0"/>
        <charset val="1"/>
      </rPr>
      <t xml:space="preserve">3</t>
    </r>
    <r>
      <rPr>
        <sz val="10"/>
        <color rgb="FF0000FF"/>
        <rFont val="Noto Sans CJK SC"/>
        <family val="2"/>
      </rPr>
      <t xml:space="preserve">개월치뿐이라 판단이 어렵다고 함</t>
    </r>
  </si>
  <si>
    <t xml:space="preserve">마바캐피탈</t>
  </si>
  <si>
    <r>
      <rPr>
        <sz val="10"/>
        <color rgb="FF0000FF"/>
        <rFont val="Noto Sans CJK SC"/>
        <family val="2"/>
      </rPr>
      <t xml:space="preserve">최</t>
    </r>
    <r>
      <rPr>
        <sz val="10"/>
        <color rgb="FF0000FF"/>
        <rFont val="Arial"/>
        <family val="0"/>
        <charset val="1"/>
      </rPr>
      <t xml:space="preserve">OO</t>
    </r>
  </si>
  <si>
    <t xml:space="preserve">같은 지적 — 유료 전환 건수가 적다</t>
  </si>
  <si>
    <t xml:space="preserve">사아벤처스</t>
  </si>
  <si>
    <r>
      <rPr>
        <sz val="10"/>
        <color rgb="FF0000FF"/>
        <rFont val="Noto Sans CJK SC"/>
        <family val="2"/>
      </rPr>
      <t xml:space="preserve">정</t>
    </r>
    <r>
      <rPr>
        <sz val="10"/>
        <color rgb="FF0000FF"/>
        <rFont val="Arial"/>
        <family val="0"/>
        <charset val="1"/>
      </rPr>
      <t xml:space="preserve">OO</t>
    </r>
  </si>
  <si>
    <t xml:space="preserve">시장 규모</t>
  </si>
  <si>
    <r>
      <rPr>
        <sz val="10"/>
        <color rgb="FF0000FF"/>
        <rFont val="Arial"/>
        <family val="0"/>
        <charset val="1"/>
      </rPr>
      <t xml:space="preserve">TAM </t>
    </r>
    <r>
      <rPr>
        <sz val="10"/>
        <color rgb="FF0000FF"/>
        <rFont val="Noto Sans CJK SC"/>
        <family val="2"/>
      </rPr>
      <t xml:space="preserve">계산 근거를 못 봤다고 함</t>
    </r>
  </si>
  <si>
    <t xml:space="preserve">자차인베스트</t>
  </si>
  <si>
    <r>
      <rPr>
        <sz val="10"/>
        <color rgb="FF0000FF"/>
        <rFont val="Noto Sans CJK SC"/>
        <family val="2"/>
      </rPr>
      <t xml:space="preserve">한</t>
    </r>
    <r>
      <rPr>
        <sz val="10"/>
        <color rgb="FF0000FF"/>
        <rFont val="Arial"/>
        <family val="0"/>
        <charset val="1"/>
      </rPr>
      <t xml:space="preserve">OO</t>
    </r>
  </si>
  <si>
    <t xml:space="preserve">투자 확정</t>
  </si>
  <si>
    <t xml:space="preserve">주주간계약 검토</t>
  </si>
  <si>
    <t xml:space="preserve">등록한 곳</t>
  </si>
  <si>
    <t xml:space="preserve">확정 금액 합계</t>
  </si>
  <si>
    <t xml:space="preserve">기한이 지난 할 일</t>
  </si>
  <si>
    <r>
      <rPr>
        <i val="true"/>
        <sz val="9"/>
        <color rgb="FF6B6B70"/>
        <rFont val="Noto Sans CJK SC"/>
        <family val="2"/>
      </rPr>
      <t xml:space="preserve">※ 위 세 줄은 예시입니다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내용으로 덮어쓰십시오</t>
    </r>
    <r>
      <rPr>
        <i val="true"/>
        <sz val="9"/>
        <color rgb="FF6B6B70"/>
        <rFont val="Arial"/>
        <family val="0"/>
        <charset val="1"/>
      </rPr>
      <t xml:space="preserve">. 60</t>
    </r>
    <r>
      <rPr>
        <i val="true"/>
        <sz val="9"/>
        <color rgb="FF6B6B70"/>
        <rFont val="Noto Sans CJK SC"/>
        <family val="2"/>
      </rPr>
      <t xml:space="preserve">줄 준비돼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</si>
  <si>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※ P</t>
    </r>
    <r>
      <rPr>
        <i val="true"/>
        <sz val="9"/>
        <color rgb="FF6B6B70"/>
        <rFont val="Noto Sans CJK SC"/>
        <family val="2"/>
      </rPr>
      <t xml:space="preserve">열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정렬키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은 「다음 할 일」 탭이 기한 순으로 뽑기 위한 도우미입니다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건드리지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</si>
  <si>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날짜는 반드시 날짜 서식으로 넣으십시오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텍스트로 넣으면 전환율이 계산되지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</si>
  <si>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전환율</t>
  </si>
  <si>
    <r>
      <rPr>
        <i val="true"/>
        <sz val="9"/>
        <color rgb="FF6B6B70"/>
        <rFont val="Noto Sans CJK SC"/>
        <family val="2"/>
      </rPr>
      <t xml:space="preserve">각 단계에 「도달한 적이 있는」 곳의 수를 셉니다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떨어진 곳도 포함됩니다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</si>
  <si>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단계</t>
  </si>
  <si>
    <t xml:space="preserve">도달한 곳</t>
  </si>
  <si>
    <t xml:space="preserve">직전 대비</t>
  </si>
  <si>
    <t xml:space="preserve">콜드컨택 대비</t>
  </si>
  <si>
    <t xml:space="preserve">여기서 무엇을 보는가</t>
  </si>
  <si>
    <t xml:space="preserve">처음 연락한 전체</t>
  </si>
  <si>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차 미팅</t>
    </r>
  </si>
  <si>
    <r>
      <rPr>
        <i val="true"/>
        <sz val="9"/>
        <color rgb="FF6B6B70"/>
        <rFont val="Noto Sans CJK SC"/>
        <family val="2"/>
      </rPr>
      <t xml:space="preserve">답장이 온 비율입니다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낮으면 접근 방식이나 소개 경로 문제입니다</t>
    </r>
  </si>
  <si>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차 미팅</t>
    </r>
  </si>
  <si>
    <r>
      <rPr>
        <i val="true"/>
        <sz val="9"/>
        <color rgb="FF6B6B70"/>
        <rFont val="Noto Sans CJK SC"/>
        <family val="2"/>
      </rPr>
      <t xml:space="preserve">첫 미팅에서 관심을 남긴 비율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낮으면 </t>
    </r>
    <r>
      <rPr>
        <i val="true"/>
        <sz val="9"/>
        <color rgb="FF6B6B70"/>
        <rFont val="Arial"/>
        <family val="0"/>
        <charset val="1"/>
      </rPr>
      <t xml:space="preserve">IR </t>
    </r>
    <r>
      <rPr>
        <i val="true"/>
        <sz val="9"/>
        <color rgb="FF6B6B70"/>
        <rFont val="Noto Sans CJK SC"/>
        <family val="2"/>
      </rPr>
      <t xml:space="preserve">덱 앞부분 문제입니다</t>
    </r>
  </si>
  <si>
    <t xml:space="preserve">여기서 많이 죽으면 숫자에 근거가 부족한 것입니다</t>
  </si>
  <si>
    <t xml:space="preserve">심사역이 내부를 설득했다는 뜻입니다</t>
  </si>
  <si>
    <t xml:space="preserve">가장 많이 떨어지는 구간</t>
  </si>
  <si>
    <t xml:space="preserve">그 구간 전환율</t>
  </si>
  <si>
    <t xml:space="preserve">콜드컨택 → 확정 전체 전환율</t>
  </si>
  <si>
    <t xml:space="preserve">다음 라운드 계획</t>
  </si>
  <si>
    <t xml:space="preserve">목표 확정 건수</t>
  </si>
  <si>
    <t xml:space="preserve">몇 곳에서 받고 싶은가</t>
  </si>
  <si>
    <t xml:space="preserve">지금까지의 전체 전환율</t>
  </si>
  <si>
    <t xml:space="preserve">위에서 가져옵니다</t>
  </si>
  <si>
    <r>
      <rPr>
        <sz val="10"/>
        <color rgb="FF111114"/>
        <rFont val="Noto Sans CJK SC"/>
        <family val="2"/>
      </rPr>
      <t xml:space="preserve">업계 통상 전환율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참고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</si>
  <si>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콜드컨택 </t>
    </r>
    <r>
      <rPr>
        <i val="true"/>
        <sz val="9"/>
        <color rgb="FF6B6B70"/>
        <rFont val="Arial"/>
        <family val="0"/>
        <charset val="1"/>
      </rPr>
      <t xml:space="preserve">100</t>
    </r>
    <r>
      <rPr>
        <i val="true"/>
        <sz val="9"/>
        <color rgb="FF6B6B70"/>
        <rFont val="Noto Sans CJK SC"/>
        <family val="2"/>
      </rPr>
      <t xml:space="preserve">곳에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곳 정도가 흔한 범위입니다</t>
    </r>
  </si>
  <si>
    <t xml:space="preserve">우리 전환율로 필요한 접촉 수</t>
  </si>
  <si>
    <t xml:space="preserve">확정 건이 없으면 계산되지 않습니다</t>
  </si>
  <si>
    <t xml:space="preserve">통상 전환율로 필요한 접촉 수</t>
  </si>
  <si>
    <t xml:space="preserve">처음이면 이 숫자로 계획하십시오</t>
  </si>
  <si>
    <r>
      <rPr>
        <sz val="10"/>
        <color rgb="FF111114"/>
        <rFont val="Noto Sans CJK SC"/>
        <family val="2"/>
      </rPr>
      <t xml:space="preserve">처음 투자를 받는 회사는 우리 전환율이 없습니다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그때는 통상 전환율로 계획을 세우고</t>
    </r>
    <r>
      <rPr>
        <sz val="10"/>
        <color rgb="FF111114"/>
        <rFont val="Arial"/>
        <family val="0"/>
        <charset val="1"/>
      </rPr>
      <t xml:space="preserve">, 20</t>
    </r>
    <r>
      <rPr>
        <sz val="10"/>
        <color rgb="FF111114"/>
        <rFont val="Noto Sans CJK SC"/>
        <family val="2"/>
      </rPr>
      <t xml:space="preserve">곳쯤 만난 뒤에 우리 숫자로 바꾸십시오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숫자가 크게 다르면 그 차이가 곧 우리의 강점이거나 문제입니다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</si>
  <si>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부결 사유 분석</t>
  </si>
  <si>
    <r>
      <rPr>
        <i val="true"/>
        <sz val="9"/>
        <color rgb="FF6B6B70"/>
        <rFont val="Noto Sans CJK SC"/>
        <family val="2"/>
      </rPr>
      <t xml:space="preserve">같은 이유가 세 번 나오면 그건 취향이 아니라 우리 덱의 구멍입니다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</si>
  <si>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사유</t>
  </si>
  <si>
    <t xml:space="preserve">건수</t>
  </si>
  <si>
    <t xml:space="preserve">비중</t>
  </si>
  <si>
    <t xml:space="preserve">이 사유가 반복되면</t>
  </si>
  <si>
    <r>
      <rPr>
        <sz val="10"/>
        <color rgb="FF111114"/>
        <rFont val="Arial"/>
        <family val="0"/>
        <charset val="1"/>
      </rPr>
      <t xml:space="preserve">TAM </t>
    </r>
    <r>
      <rPr>
        <sz val="10"/>
        <color rgb="FF111114"/>
        <rFont val="Noto Sans CJK SC"/>
        <family val="2"/>
      </rPr>
      <t xml:space="preserve">계산 과정을 한 장으로 만들어 덱 앞쪽에 넣으십시오</t>
    </r>
  </si>
  <si>
    <r>
      <rPr>
        <sz val="10"/>
        <color rgb="FF111114"/>
        <rFont val="Noto Sans CJK SC"/>
        <family val="2"/>
      </rPr>
      <t xml:space="preserve">월별 추세를 보여 주고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꺾인 달의 이유를 적으십시오</t>
    </r>
    <r>
      <rPr>
        <sz val="10"/>
        <color rgb="FF111114"/>
        <rFont val="Arial"/>
        <family val="0"/>
        <charset val="1"/>
      </rPr>
      <t xml:space="preserve">. 3</t>
    </r>
    <r>
      <rPr>
        <sz val="10"/>
        <color rgb="FF111114"/>
        <rFont val="Noto Sans CJK SC"/>
        <family val="2"/>
      </rPr>
      <t xml:space="preserve">개월치뿐이면 두 달 더 쌓고 다시 도십시오</t>
    </r>
  </si>
  <si>
    <t xml:space="preserve">팀</t>
  </si>
  <si>
    <r>
      <rPr>
        <sz val="10"/>
        <color rgb="FF111114"/>
        <rFont val="Noto Sans CJK SC"/>
        <family val="2"/>
      </rPr>
      <t xml:space="preserve">각 사람과 이 사업의 접점을 한 줄로 붙이고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공석과 채용 시점을 명시하십시오</t>
    </r>
  </si>
  <si>
    <r>
      <rPr>
        <b val="true"/>
        <sz val="10"/>
        <color rgb="FF111114"/>
        <rFont val="Noto Sans CJK SC"/>
        <family val="2"/>
      </rPr>
      <t xml:space="preserve">제품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기술</t>
    </r>
  </si>
  <si>
    <r>
      <rPr>
        <sz val="10"/>
        <color rgb="FF111114"/>
        <rFont val="Noto Sans CJK SC"/>
        <family val="2"/>
      </rPr>
      <t xml:space="preserve">작동하는 화면이나 </t>
    </r>
    <r>
      <rPr>
        <sz val="10"/>
        <color rgb="FF111114"/>
        <rFont val="Arial"/>
        <family val="0"/>
        <charset val="1"/>
      </rPr>
      <t xml:space="preserve">30</t>
    </r>
    <r>
      <rPr>
        <sz val="10"/>
        <color rgb="FF111114"/>
        <rFont val="Noto Sans CJK SC"/>
        <family val="2"/>
      </rPr>
      <t xml:space="preserve">초 영상을 넣으십시오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설명만으로는 안 됩니다</t>
    </r>
  </si>
  <si>
    <t xml:space="preserve">비즈니스 모델</t>
  </si>
  <si>
    <t xml:space="preserve">돈 내는 사람과 단가 근거를 한 장으로 정리하십시오</t>
  </si>
  <si>
    <t xml:space="preserve">밸류 이견</t>
  </si>
  <si>
    <r>
      <rPr>
        <sz val="10"/>
        <color rgb="FF111114"/>
        <rFont val="Noto Sans CJK SC"/>
        <family val="2"/>
      </rPr>
      <t xml:space="preserve">프리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포스트를 분명히 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비교 가능한 최근 거래 사례를 준비하십시오</t>
    </r>
  </si>
  <si>
    <t xml:space="preserve">포트폴리오 중복</t>
  </si>
  <si>
    <r>
      <rPr>
        <sz val="10"/>
        <color rgb="FF111114"/>
        <rFont val="Noto Sans CJK SC"/>
        <family val="2"/>
      </rPr>
      <t xml:space="preserve">직접 경쟁이면 어쩔 수 없습니다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리서치 단계에서 걸러야 합니다</t>
    </r>
  </si>
  <si>
    <t xml:space="preserve">펀드 사정</t>
  </si>
  <si>
    <r>
      <rPr>
        <sz val="10"/>
        <color rgb="FF111114"/>
        <rFont val="Noto Sans CJK SC"/>
        <family val="2"/>
      </rPr>
      <t xml:space="preserve">우리 문제가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만기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소진율을 먼저 조사하면 줄일 수 있습니다</t>
    </r>
  </si>
  <si>
    <t xml:space="preserve">단계 안 맞음</t>
  </si>
  <si>
    <t xml:space="preserve">티켓 사이즈와 투자 단계를 리서치에서 확인하십시오</t>
  </si>
  <si>
    <t xml:space="preserve">기타</t>
  </si>
  <si>
    <t xml:space="preserve">「그대로」 칸에 적힌 문장을 다시 읽어 보십시오</t>
  </si>
  <si>
    <t xml:space="preserve">부결 건수 합계</t>
  </si>
  <si>
    <t xml:space="preserve">가장 많은 사유</t>
  </si>
  <si>
    <t xml:space="preserve">판단</t>
  </si>
  <si>
    <r>
      <rPr>
        <i val="true"/>
        <sz val="9"/>
        <color rgb="FF6B6B70"/>
        <rFont val="Noto Sans CJK SC"/>
        <family val="2"/>
      </rPr>
      <t xml:space="preserve">「파이프라인」에서 기한이 이른 순으로 자동으로 뽑힙니다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여기에 직접 적지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</si>
  <si>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할 일</t>
  </si>
  <si>
    <t xml:space="preserve">남은 일수</t>
  </si>
  <si>
    <t xml:space="preserve">상태</t>
  </si>
  <si>
    <t xml:space="preserve">기한 지난 건</t>
  </si>
  <si>
    <r>
      <rPr>
        <sz val="10"/>
        <color rgb="FF111114"/>
        <rFont val="Noto Sans CJK SC"/>
        <family val="2"/>
      </rPr>
      <t xml:space="preserve">약속한 자료를 기한 안에 못 보내는 것이 투자유치에서 가장 흔한 탈락 사유입니다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심사역은 「이 회사는 실행이 느리다」로 읽습니다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못 맞출 것 같으면 기한 전에 미리 알리는 편이 낫습니다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</si>
  <si>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미팅 기록</t>
  </si>
  <si>
    <r>
      <rPr>
        <i val="true"/>
        <sz val="9"/>
        <color rgb="FF6B6B70"/>
        <rFont val="Noto Sans CJK SC"/>
        <family val="2"/>
      </rPr>
      <t xml:space="preserve">미팅이 끝나면 그날 안에 채우십시오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다음 미팅 준비가 여기서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</si>
  <si>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날짜</t>
  </si>
  <si>
    <t xml:space="preserve">참석자</t>
  </si>
  <si>
    <t xml:space="preserve">형태</t>
  </si>
  <si>
    <t xml:space="preserve">무엇을 물었나</t>
  </si>
  <si>
    <t xml:space="preserve">우리가 약속한 것</t>
  </si>
  <si>
    <t xml:space="preserve">약속 기한</t>
  </si>
  <si>
    <t xml:space="preserve">보냈나</t>
  </si>
  <si>
    <r>
      <rPr>
        <i val="true"/>
        <sz val="9"/>
        <color rgb="FF6B6B70"/>
        <rFont val="Noto Sans CJK SC"/>
        <family val="2"/>
      </rPr>
      <t xml:space="preserve">김</t>
    </r>
    <r>
      <rPr>
        <i val="true"/>
        <sz val="9"/>
        <color rgb="FF6B6B70"/>
        <rFont val="Arial"/>
        <family val="0"/>
        <charset val="1"/>
      </rPr>
      <t xml:space="preserve">OO </t>
    </r>
    <r>
      <rPr>
        <i val="true"/>
        <sz val="9"/>
        <color rgb="FF6B6B70"/>
        <rFont val="Noto Sans CJK SC"/>
        <family val="2"/>
      </rPr>
      <t xml:space="preserve">심사역</t>
    </r>
  </si>
  <si>
    <t xml:space="preserve">대면</t>
  </si>
  <si>
    <t xml:space="preserve">고객 이탈률 근거를 물었습니다</t>
  </si>
  <si>
    <t xml:space="preserve">이탈률 원자료 시트 송부</t>
  </si>
  <si>
    <t xml:space="preserve">보냄</t>
  </si>
  <si>
    <t xml:space="preserve">기록한 미팅</t>
  </si>
  <si>
    <t xml:space="preserve">아직 안 보낸 약속</t>
  </si>
  <si>
    <r>
      <rPr>
        <sz val="10"/>
        <color rgb="FF111114"/>
        <rFont val="Noto Sans CJK SC"/>
        <family val="2"/>
      </rPr>
      <t xml:space="preserve">같은 질문이 세 번 나오면 그건 그 심사역의 관심사가 아니라 </t>
    </r>
    <r>
      <rPr>
        <sz val="10"/>
        <color rgb="FF111114"/>
        <rFont val="Arial"/>
        <family val="0"/>
        <charset val="1"/>
      </rPr>
      <t xml:space="preserve">IR </t>
    </r>
    <r>
      <rPr>
        <sz val="10"/>
        <color rgb="FF111114"/>
        <rFont val="Noto Sans CJK SC"/>
        <family val="2"/>
      </rPr>
      <t xml:space="preserve">덱의 구멍입니다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「무엇을 물었나」 칸을 주기적으로 훑어보십시오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덱을 어디부터 고쳐야 하는지가 거기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</si>
  <si>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자료 발송 기록</t>
  </si>
  <si>
    <r>
      <rPr>
        <i val="true"/>
        <sz val="9"/>
        <color rgb="FF6B6B70"/>
        <rFont val="Noto Sans CJK SC"/>
        <family val="2"/>
      </rPr>
      <t xml:space="preserve">어느 버전을 누구에게 보냈는지 남기십시오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나중에 다른 숫자가 나가면 신뢰를 잃습니다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</si>
  <si>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받는 곳</t>
  </si>
  <si>
    <t xml:space="preserve">무엇을</t>
  </si>
  <si>
    <t xml:space="preserve">버전</t>
  </si>
  <si>
    <t xml:space="preserve">형식</t>
  </si>
  <si>
    <t xml:space="preserve">워터마크</t>
  </si>
  <si>
    <r>
      <rPr>
        <i val="true"/>
        <sz val="9"/>
        <color rgb="FF6B6B70"/>
        <rFont val="Arial"/>
        <family val="0"/>
        <charset val="1"/>
      </rPr>
      <t xml:space="preserve">IR </t>
    </r>
    <r>
      <rPr>
        <i val="true"/>
        <sz val="9"/>
        <color rgb="FF6B6B70"/>
        <rFont val="Noto Sans CJK SC"/>
        <family val="2"/>
      </rPr>
      <t xml:space="preserve">덱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이탈률 원자료</t>
    </r>
  </si>
  <si>
    <t xml:space="preserve">v1.3</t>
  </si>
  <si>
    <t xml:space="preserve">PDF</t>
  </si>
  <si>
    <t xml:space="preserve">넣음</t>
  </si>
  <si>
    <r>
      <rPr>
        <i val="true"/>
        <sz val="9"/>
        <color rgb="FF6B6B70"/>
        <rFont val="Noto Sans CJK SC"/>
        <family val="2"/>
      </rPr>
      <t xml:space="preserve">김</t>
    </r>
    <r>
      <rPr>
        <i val="true"/>
        <sz val="9"/>
        <color rgb="FF6B6B70"/>
        <rFont val="Arial"/>
        <family val="0"/>
        <charset val="1"/>
      </rPr>
      <t xml:space="preserve">OO </t>
    </r>
    <r>
      <rPr>
        <i val="true"/>
        <sz val="9"/>
        <color rgb="FF6B6B70"/>
        <rFont val="Noto Sans CJK SC"/>
        <family val="2"/>
      </rPr>
      <t xml:space="preserve">심사역 앞</t>
    </r>
  </si>
  <si>
    <t xml:space="preserve">발송 건수</t>
  </si>
  <si>
    <t xml:space="preserve">워터마크 없이 나간 건</t>
  </si>
  <si>
    <r>
      <rPr>
        <sz val="10"/>
        <color rgb="FF111114"/>
        <rFont val="Arial"/>
        <family val="0"/>
        <charset val="1"/>
      </rPr>
      <t xml:space="preserve">· PDF </t>
    </r>
    <r>
      <rPr>
        <sz val="10"/>
        <color rgb="FF111114"/>
        <rFont val="Noto Sans CJK SC"/>
        <family val="2"/>
      </rPr>
      <t xml:space="preserve">로 보내고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받는 곳 이름을 워터마크로 박으십시오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자료는 반드시 돌아다닙니다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</si>
  <si>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가장 최근에 보낸 버전이 무엇인지 늘 알고 계셔야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같은 회사에 다른 숫자가 두 번 나가면 그걸로 끝입니다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</si>
  <si>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재무 원자료와 고객 명단은 실사 단계 전에는 보내지 마십시오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요약본으로 갈음하십시오</t>
    </r>
    <r>
      <rPr>
        <sz val="10"/>
        <color rgb="FF111114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</si>
</sst>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\원;\(#,##0&quot;)원&quot;;\-"/>
    <numFmt numFmtId="166" formatCode="#,##0;\(#,##0\);\-"/>
    <numFmt numFmtId="167" formatCode="0.0%"/>
    <numFmt numFmtId="168" formatCode="General"/>
    <numFmt numFmtId="169" formatCode="yyyy\-mm\-dd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0"/>
        <bgColor rgb="FFFFF9E0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29.8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29.8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15" hidden="false" customHeight="false" outlineLevel="0" collapsed="false">
      <c r="C4" s="4" t="s">
        <v>39</v>
      </c>
    </row>
    <row r="5" customFormat="false" ht="15" hidden="false" customHeight="false" outlineLevel="0" collapsed="false">
      <c r="C5" s="4" t="s">
        <v>40</v>
      </c>
    </row>
    <row r="6" customFormat="false" ht="15" hidden="false" customHeight="false" outlineLevel="0" collapsed="false">
      <c r="C6" s="4" t="s">
        <v>41</v>
      </c>
    </row>
    <row r="7" customFormat="false" ht="15" hidden="false" customHeight="false" outlineLevel="0" collapsed="false">
      <c r="C7" s="4" t="s">
        <v>42</v>
      </c>
    </row>
    <row r="10" customFormat="false" ht="15" hidden="false" customHeight="false" outlineLevel="0" collapsed="false">
      <c r="B10" s="7" t="s">
        <v>43</v>
      </c>
    </row>
    <row r="11" customFormat="false" ht="61.5" hidden="false" customHeight="true" outlineLevel="0" collapsed="false">
      <c r="C11" s="8" t="s">
        <v>44</v>
      </c>
    </row>
    <row r="14" customFormat="false" ht="15" hidden="false" customHeight="false" outlineLevel="0" collapsed="false">
      <c r="B14" s="7" t="s">
        <v>45</v>
      </c>
    </row>
    <row r="15" customFormat="false" ht="45.75" hidden="false" customHeight="true" outlineLevel="0" collapsed="false">
      <c r="C15" s="8" t="s">
        <v>46</v>
      </c>
    </row>
    <row r="18" customFormat="false" ht="15" hidden="false" customHeight="false" outlineLevel="0" collapsed="false">
      <c r="B18" s="7" t="s">
        <v>47</v>
      </c>
    </row>
    <row r="19" customFormat="false" ht="15" hidden="false" customHeight="false" outlineLevel="0" collapsed="false">
      <c r="B19" s="10" t="s">
        <v>48</v>
      </c>
      <c r="C19" s="5" t="s">
        <v>49</v>
      </c>
    </row>
    <row r="20" customFormat="false" ht="15" hidden="false" customHeight="false" outlineLevel="0" collapsed="false">
      <c r="B20" s="5" t="s">
        <v>50</v>
      </c>
      <c r="C20" s="5" t="s">
        <v>51</v>
      </c>
    </row>
    <row r="21" customFormat="false" ht="15" hidden="false" customHeight="false" outlineLevel="0" collapsed="false">
      <c r="B21" s="11" t="s">
        <v>52</v>
      </c>
      <c r="C21" s="5" t="s">
        <v>53</v>
      </c>
    </row>
    <row r="22" customFormat="false" ht="15" hidden="false" customHeight="false" outlineLevel="0" collapsed="false">
      <c r="B22" s="12" t="s">
        <v>54</v>
      </c>
      <c r="C22" s="5" t="s">
        <v>55</v>
      </c>
    </row>
    <row r="26" customFormat="false" ht="15" hidden="false" customHeight="false" outlineLevel="0" collapsed="false">
      <c r="B26" s="9" t="s">
        <v>56</v>
      </c>
    </row>
    <row r="27" customFormat="false" ht="15" hidden="false" customHeight="false" outlineLevel="0" collapsed="false">
      <c r="B2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8" min="7" style="0" width="12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10"/>
    <col collapsed="false" customWidth="true" hidden="false" outlineLevel="0" max="12" min="12" style="0" width="30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9" t="s">
        <v>58</v>
      </c>
    </row>
    <row r="4" customFormat="false" ht="15" hidden="false" customHeight="false" outlineLevel="0" collapsed="false">
      <c r="A4" s="13"/>
      <c r="B4" s="14" t="s">
        <v>59</v>
      </c>
      <c r="C4" s="14" t="s">
        <v>60</v>
      </c>
      <c r="D4" s="14" t="s">
        <v>61</v>
      </c>
      <c r="E4" s="14" t="s">
        <v>62</v>
      </c>
      <c r="F4" s="14" t="s">
        <v>63</v>
      </c>
      <c r="G4" s="14" t="s">
        <v>64</v>
      </c>
      <c r="H4" s="14" t="s">
        <v>65</v>
      </c>
      <c r="I4" s="13" t="s">
        <v>66</v>
      </c>
      <c r="J4" s="14" t="s">
        <v>67</v>
      </c>
      <c r="K4" s="14" t="s">
        <v>68</v>
      </c>
      <c r="L4" s="14" t="s">
        <v>69</v>
      </c>
    </row>
    <row r="5" customFormat="false" ht="15" hidden="false" customHeight="false" outlineLevel="0" collapsed="false">
      <c r="B5" s="15" t="s">
        <v>70</v>
      </c>
      <c r="C5" s="16" t="s">
        <v>71</v>
      </c>
      <c r="D5" s="15" t="s">
        <v>72</v>
      </c>
      <c r="E5" s="17" t="n">
        <v>300000000</v>
      </c>
      <c r="F5" s="18" t="n">
        <v>2024</v>
      </c>
      <c r="G5" s="18" t="n">
        <v>2032</v>
      </c>
      <c r="H5" s="19" t="n">
        <v>0.45</v>
      </c>
      <c r="I5" s="15" t="s">
        <v>73</v>
      </c>
      <c r="J5" s="15" t="s">
        <v>73</v>
      </c>
      <c r="K5" s="15" t="s">
        <v>74</v>
      </c>
      <c r="L5" s="15" t="s">
        <v>75</v>
      </c>
    </row>
    <row r="6" customFormat="false" ht="15" hidden="false" customHeight="false" outlineLevel="0" collapsed="false">
      <c r="B6" s="15" t="s">
        <v>76</v>
      </c>
      <c r="C6" s="16" t="s">
        <v>77</v>
      </c>
      <c r="D6" s="15" t="s">
        <v>78</v>
      </c>
      <c r="E6" s="17" t="n">
        <v>100000000</v>
      </c>
      <c r="F6" s="18" t="n">
        <v>2025</v>
      </c>
      <c r="G6" s="18" t="n">
        <v>2033</v>
      </c>
      <c r="H6" s="19" t="n">
        <v>0.2</v>
      </c>
      <c r="I6" s="15" t="s">
        <v>73</v>
      </c>
      <c r="J6" s="15" t="s">
        <v>73</v>
      </c>
      <c r="K6" s="15" t="s">
        <v>79</v>
      </c>
      <c r="L6" s="16" t="s">
        <v>80</v>
      </c>
    </row>
    <row r="7" customFormat="false" ht="15" hidden="false" customHeight="false" outlineLevel="0" collapsed="false">
      <c r="B7" s="15" t="s">
        <v>81</v>
      </c>
      <c r="C7" s="16" t="s">
        <v>71</v>
      </c>
      <c r="D7" s="15" t="s">
        <v>82</v>
      </c>
      <c r="E7" s="17" t="n">
        <v>500000000</v>
      </c>
      <c r="F7" s="18" t="n">
        <v>2019</v>
      </c>
      <c r="G7" s="18" t="n">
        <v>2027</v>
      </c>
      <c r="H7" s="19" t="n">
        <v>0.9</v>
      </c>
      <c r="I7" s="15" t="s">
        <v>83</v>
      </c>
      <c r="J7" s="15" t="s">
        <v>83</v>
      </c>
      <c r="K7" s="15" t="s">
        <v>84</v>
      </c>
      <c r="L7" s="15" t="s">
        <v>85</v>
      </c>
    </row>
    <row r="8" customFormat="false" ht="15" hidden="false" customHeight="false" outlineLevel="0" collapsed="false">
      <c r="B8" s="15"/>
      <c r="C8" s="16"/>
      <c r="D8" s="15"/>
      <c r="E8" s="17"/>
      <c r="F8" s="18"/>
      <c r="G8" s="18"/>
      <c r="H8" s="19"/>
      <c r="I8" s="15"/>
      <c r="J8" s="15"/>
      <c r="K8" s="15"/>
      <c r="L8" s="15"/>
    </row>
    <row r="9" customFormat="false" ht="15" hidden="false" customHeight="false" outlineLevel="0" collapsed="false">
      <c r="B9" s="15"/>
      <c r="C9" s="16"/>
      <c r="D9" s="15"/>
      <c r="E9" s="17"/>
      <c r="F9" s="18"/>
      <c r="G9" s="18"/>
      <c r="H9" s="19"/>
      <c r="I9" s="15"/>
      <c r="J9" s="15"/>
      <c r="K9" s="15"/>
      <c r="L9" s="15"/>
    </row>
    <row r="10" customFormat="false" ht="15" hidden="false" customHeight="false" outlineLevel="0" collapsed="false">
      <c r="B10" s="15"/>
      <c r="C10" s="16"/>
      <c r="D10" s="15"/>
      <c r="E10" s="17"/>
      <c r="F10" s="18"/>
      <c r="G10" s="18"/>
      <c r="H10" s="19"/>
      <c r="I10" s="15"/>
      <c r="J10" s="15"/>
      <c r="K10" s="15"/>
      <c r="L10" s="15"/>
    </row>
    <row r="11" customFormat="false" ht="15" hidden="false" customHeight="false" outlineLevel="0" collapsed="false">
      <c r="B11" s="15"/>
      <c r="C11" s="16"/>
      <c r="D11" s="15"/>
      <c r="E11" s="17"/>
      <c r="F11" s="18"/>
      <c r="G11" s="18"/>
      <c r="H11" s="19"/>
      <c r="I11" s="15"/>
      <c r="J11" s="15"/>
      <c r="K11" s="15"/>
      <c r="L11" s="15"/>
    </row>
    <row r="12" customFormat="false" ht="15" hidden="false" customHeight="false" outlineLevel="0" collapsed="false">
      <c r="B12" s="15"/>
      <c r="C12" s="16"/>
      <c r="D12" s="15"/>
      <c r="E12" s="17"/>
      <c r="F12" s="18"/>
      <c r="G12" s="18"/>
      <c r="H12" s="19"/>
      <c r="I12" s="15"/>
      <c r="J12" s="15"/>
      <c r="K12" s="15"/>
      <c r="L12" s="15"/>
    </row>
    <row r="13" customFormat="false" ht="15" hidden="false" customHeight="false" outlineLevel="0" collapsed="false">
      <c r="B13" s="15"/>
      <c r="C13" s="16"/>
      <c r="D13" s="15"/>
      <c r="E13" s="17"/>
      <c r="F13" s="18"/>
      <c r="G13" s="18"/>
      <c r="H13" s="19"/>
      <c r="I13" s="15"/>
      <c r="J13" s="15"/>
      <c r="K13" s="15"/>
      <c r="L13" s="15"/>
    </row>
    <row r="14" customFormat="false" ht="15" hidden="false" customHeight="false" outlineLevel="0" collapsed="false">
      <c r="B14" s="15"/>
      <c r="C14" s="16"/>
      <c r="D14" s="15"/>
      <c r="E14" s="17"/>
      <c r="F14" s="18"/>
      <c r="G14" s="18"/>
      <c r="H14" s="19"/>
      <c r="I14" s="15"/>
      <c r="J14" s="15"/>
      <c r="K14" s="15"/>
      <c r="L14" s="15"/>
    </row>
    <row r="15" customFormat="false" ht="15" hidden="false" customHeight="false" outlineLevel="0" collapsed="false">
      <c r="B15" s="15"/>
      <c r="C15" s="16"/>
      <c r="D15" s="15"/>
      <c r="E15" s="17"/>
      <c r="F15" s="18"/>
      <c r="G15" s="18"/>
      <c r="H15" s="19"/>
      <c r="I15" s="15"/>
      <c r="J15" s="15"/>
      <c r="K15" s="15"/>
      <c r="L15" s="15"/>
    </row>
    <row r="16" customFormat="false" ht="15" hidden="false" customHeight="false" outlineLevel="0" collapsed="false">
      <c r="B16" s="15"/>
      <c r="C16" s="16"/>
      <c r="D16" s="15"/>
      <c r="E16" s="17"/>
      <c r="F16" s="18"/>
      <c r="G16" s="18"/>
      <c r="H16" s="19"/>
      <c r="I16" s="15"/>
      <c r="J16" s="15"/>
      <c r="K16" s="15"/>
      <c r="L16" s="15"/>
    </row>
    <row r="17" customFormat="false" ht="15" hidden="false" customHeight="false" outlineLevel="0" collapsed="false">
      <c r="B17" s="15"/>
      <c r="C17" s="16"/>
      <c r="D17" s="15"/>
      <c r="E17" s="17"/>
      <c r="F17" s="18"/>
      <c r="G17" s="18"/>
      <c r="H17" s="19"/>
      <c r="I17" s="15"/>
      <c r="J17" s="15"/>
      <c r="K17" s="15"/>
      <c r="L17" s="15"/>
    </row>
    <row r="18" customFormat="false" ht="15" hidden="false" customHeight="false" outlineLevel="0" collapsed="false">
      <c r="B18" s="15"/>
      <c r="C18" s="16"/>
      <c r="D18" s="15"/>
      <c r="E18" s="17"/>
      <c r="F18" s="18"/>
      <c r="G18" s="18"/>
      <c r="H18" s="19"/>
      <c r="I18" s="15"/>
      <c r="J18" s="15"/>
      <c r="K18" s="15"/>
      <c r="L18" s="15"/>
    </row>
    <row r="19" customFormat="false" ht="15" hidden="false" customHeight="false" outlineLevel="0" collapsed="false">
      <c r="B19" s="15"/>
      <c r="C19" s="16"/>
      <c r="D19" s="15"/>
      <c r="E19" s="17"/>
      <c r="F19" s="18"/>
      <c r="G19" s="18"/>
      <c r="H19" s="19"/>
      <c r="I19" s="15"/>
      <c r="J19" s="15"/>
      <c r="K19" s="15"/>
      <c r="L19" s="15"/>
    </row>
    <row r="20" customFormat="false" ht="15" hidden="false" customHeight="false" outlineLevel="0" collapsed="false">
      <c r="B20" s="15"/>
      <c r="C20" s="16"/>
      <c r="D20" s="15"/>
      <c r="E20" s="17"/>
      <c r="F20" s="18"/>
      <c r="G20" s="18"/>
      <c r="H20" s="19"/>
      <c r="I20" s="15"/>
      <c r="J20" s="15"/>
      <c r="K20" s="15"/>
      <c r="L20" s="15"/>
    </row>
    <row r="21" customFormat="false" ht="15" hidden="false" customHeight="false" outlineLevel="0" collapsed="false">
      <c r="B21" s="15"/>
      <c r="C21" s="16"/>
      <c r="D21" s="15"/>
      <c r="E21" s="17"/>
      <c r="F21" s="18"/>
      <c r="G21" s="18"/>
      <c r="H21" s="19"/>
      <c r="I21" s="15"/>
      <c r="J21" s="15"/>
      <c r="K21" s="15"/>
      <c r="L21" s="15"/>
    </row>
    <row r="22" customFormat="false" ht="15" hidden="false" customHeight="false" outlineLevel="0" collapsed="false">
      <c r="B22" s="15"/>
      <c r="C22" s="16"/>
      <c r="D22" s="15"/>
      <c r="E22" s="17"/>
      <c r="F22" s="18"/>
      <c r="G22" s="18"/>
      <c r="H22" s="19"/>
      <c r="I22" s="15"/>
      <c r="J22" s="15"/>
      <c r="K22" s="15"/>
      <c r="L22" s="15"/>
    </row>
    <row r="23" customFormat="false" ht="15" hidden="false" customHeight="false" outlineLevel="0" collapsed="false">
      <c r="B23" s="15"/>
      <c r="C23" s="16"/>
      <c r="D23" s="15"/>
      <c r="E23" s="17"/>
      <c r="F23" s="18"/>
      <c r="G23" s="18"/>
      <c r="H23" s="19"/>
      <c r="I23" s="15"/>
      <c r="J23" s="15"/>
      <c r="K23" s="15"/>
      <c r="L23" s="15"/>
    </row>
    <row r="24" customFormat="false" ht="15" hidden="false" customHeight="false" outlineLevel="0" collapsed="false">
      <c r="B24" s="15"/>
      <c r="C24" s="16"/>
      <c r="D24" s="15"/>
      <c r="E24" s="17"/>
      <c r="F24" s="18"/>
      <c r="G24" s="18"/>
      <c r="H24" s="19"/>
      <c r="I24" s="15"/>
      <c r="J24" s="15"/>
      <c r="K24" s="15"/>
      <c r="L24" s="15"/>
    </row>
    <row r="25" customFormat="false" ht="15" hidden="false" customHeight="false" outlineLevel="0" collapsed="false">
      <c r="B25" s="15"/>
      <c r="C25" s="16"/>
      <c r="D25" s="15"/>
      <c r="E25" s="17"/>
      <c r="F25" s="18"/>
      <c r="G25" s="18"/>
      <c r="H25" s="19"/>
      <c r="I25" s="15"/>
      <c r="J25" s="15"/>
      <c r="K25" s="15"/>
      <c r="L25" s="15"/>
    </row>
    <row r="26" customFormat="false" ht="15" hidden="false" customHeight="false" outlineLevel="0" collapsed="false">
      <c r="B26" s="15"/>
      <c r="C26" s="16"/>
      <c r="D26" s="15"/>
      <c r="E26" s="17"/>
      <c r="F26" s="18"/>
      <c r="G26" s="18"/>
      <c r="H26" s="19"/>
      <c r="I26" s="15"/>
      <c r="J26" s="15"/>
      <c r="K26" s="15"/>
      <c r="L26" s="15"/>
    </row>
    <row r="27" customFormat="false" ht="15" hidden="false" customHeight="false" outlineLevel="0" collapsed="false">
      <c r="B27" s="15"/>
      <c r="C27" s="16"/>
      <c r="D27" s="15"/>
      <c r="E27" s="17"/>
      <c r="F27" s="18"/>
      <c r="G27" s="18"/>
      <c r="H27" s="19"/>
      <c r="I27" s="15"/>
      <c r="J27" s="15"/>
      <c r="K27" s="15"/>
      <c r="L27" s="15"/>
    </row>
    <row r="28" customFormat="false" ht="15" hidden="false" customHeight="false" outlineLevel="0" collapsed="false">
      <c r="B28" s="15"/>
      <c r="C28" s="16"/>
      <c r="D28" s="15"/>
      <c r="E28" s="17"/>
      <c r="F28" s="18"/>
      <c r="G28" s="18"/>
      <c r="H28" s="19"/>
      <c r="I28" s="15"/>
      <c r="J28" s="15"/>
      <c r="K28" s="15"/>
      <c r="L28" s="15"/>
    </row>
    <row r="29" customFormat="false" ht="15" hidden="false" customHeight="false" outlineLevel="0" collapsed="false">
      <c r="B29" s="15"/>
      <c r="C29" s="16"/>
      <c r="D29" s="15"/>
      <c r="E29" s="17"/>
      <c r="F29" s="18"/>
      <c r="G29" s="18"/>
      <c r="H29" s="19"/>
      <c r="I29" s="15"/>
      <c r="J29" s="15"/>
      <c r="K29" s="15"/>
      <c r="L29" s="15"/>
    </row>
    <row r="30" customFormat="false" ht="15" hidden="false" customHeight="false" outlineLevel="0" collapsed="false">
      <c r="B30" s="15"/>
      <c r="C30" s="16"/>
      <c r="D30" s="15"/>
      <c r="E30" s="17"/>
      <c r="F30" s="18"/>
      <c r="G30" s="18"/>
      <c r="H30" s="19"/>
      <c r="I30" s="15"/>
      <c r="J30" s="15"/>
      <c r="K30" s="15"/>
      <c r="L30" s="15"/>
    </row>
    <row r="31" customFormat="false" ht="15" hidden="false" customHeight="false" outlineLevel="0" collapsed="false">
      <c r="B31" s="15"/>
      <c r="C31" s="16"/>
      <c r="D31" s="15"/>
      <c r="E31" s="17"/>
      <c r="F31" s="18"/>
      <c r="G31" s="18"/>
      <c r="H31" s="19"/>
      <c r="I31" s="15"/>
      <c r="J31" s="15"/>
      <c r="K31" s="15"/>
      <c r="L31" s="15"/>
    </row>
    <row r="32" customFormat="false" ht="15" hidden="false" customHeight="false" outlineLevel="0" collapsed="false">
      <c r="B32" s="15"/>
      <c r="C32" s="16"/>
      <c r="D32" s="15"/>
      <c r="E32" s="17"/>
      <c r="F32" s="18"/>
      <c r="G32" s="18"/>
      <c r="H32" s="19"/>
      <c r="I32" s="15"/>
      <c r="J32" s="15"/>
      <c r="K32" s="15"/>
      <c r="L32" s="15"/>
    </row>
    <row r="33" customFormat="false" ht="15" hidden="false" customHeight="false" outlineLevel="0" collapsed="false">
      <c r="B33" s="15"/>
      <c r="C33" s="16"/>
      <c r="D33" s="15"/>
      <c r="E33" s="17"/>
      <c r="F33" s="18"/>
      <c r="G33" s="18"/>
      <c r="H33" s="19"/>
      <c r="I33" s="15"/>
      <c r="J33" s="15"/>
      <c r="K33" s="15"/>
      <c r="L33" s="15"/>
    </row>
    <row r="34" customFormat="false" ht="15" hidden="false" customHeight="false" outlineLevel="0" collapsed="false">
      <c r="B34" s="15"/>
      <c r="C34" s="16"/>
      <c r="D34" s="15"/>
      <c r="E34" s="17"/>
      <c r="F34" s="18"/>
      <c r="G34" s="18"/>
      <c r="H34" s="19"/>
      <c r="I34" s="15"/>
      <c r="J34" s="15"/>
      <c r="K34" s="15"/>
      <c r="L34" s="15"/>
    </row>
    <row r="35" customFormat="false" ht="15" hidden="false" customHeight="false" outlineLevel="0" collapsed="false">
      <c r="B35" s="15"/>
      <c r="C35" s="16"/>
      <c r="D35" s="15"/>
      <c r="E35" s="17"/>
      <c r="F35" s="18"/>
      <c r="G35" s="18"/>
      <c r="H35" s="19"/>
      <c r="I35" s="15"/>
      <c r="J35" s="15"/>
      <c r="K35" s="15"/>
      <c r="L35" s="15"/>
    </row>
    <row r="36" customFormat="false" ht="15" hidden="false" customHeight="false" outlineLevel="0" collapsed="false">
      <c r="B36" s="15"/>
      <c r="C36" s="16"/>
      <c r="D36" s="15"/>
      <c r="E36" s="17"/>
      <c r="F36" s="18"/>
      <c r="G36" s="18"/>
      <c r="H36" s="19"/>
      <c r="I36" s="15"/>
      <c r="J36" s="15"/>
      <c r="K36" s="15"/>
      <c r="L36" s="15"/>
    </row>
    <row r="37" customFormat="false" ht="15" hidden="false" customHeight="false" outlineLevel="0" collapsed="false">
      <c r="B37" s="15"/>
      <c r="C37" s="16"/>
      <c r="D37" s="15"/>
      <c r="E37" s="17"/>
      <c r="F37" s="18"/>
      <c r="G37" s="18"/>
      <c r="H37" s="19"/>
      <c r="I37" s="15"/>
      <c r="J37" s="15"/>
      <c r="K37" s="15"/>
      <c r="L37" s="15"/>
    </row>
    <row r="38" customFormat="false" ht="15" hidden="false" customHeight="false" outlineLevel="0" collapsed="false">
      <c r="B38" s="15"/>
      <c r="C38" s="16"/>
      <c r="D38" s="15"/>
      <c r="E38" s="17"/>
      <c r="F38" s="18"/>
      <c r="G38" s="18"/>
      <c r="H38" s="19"/>
      <c r="I38" s="15"/>
      <c r="J38" s="15"/>
      <c r="K38" s="15"/>
      <c r="L38" s="15"/>
    </row>
    <row r="39" customFormat="false" ht="15" hidden="false" customHeight="false" outlineLevel="0" collapsed="false">
      <c r="B39" s="15"/>
      <c r="C39" s="16"/>
      <c r="D39" s="15"/>
      <c r="E39" s="17"/>
      <c r="F39" s="18"/>
      <c r="G39" s="18"/>
      <c r="H39" s="19"/>
      <c r="I39" s="15"/>
      <c r="J39" s="15"/>
      <c r="K39" s="15"/>
      <c r="L39" s="15"/>
    </row>
    <row r="40" customFormat="false" ht="15" hidden="false" customHeight="false" outlineLevel="0" collapsed="false">
      <c r="B40" s="15"/>
      <c r="C40" s="16"/>
      <c r="D40" s="15"/>
      <c r="E40" s="17"/>
      <c r="F40" s="18"/>
      <c r="G40" s="18"/>
      <c r="H40" s="19"/>
      <c r="I40" s="15"/>
      <c r="J40" s="15"/>
      <c r="K40" s="15"/>
      <c r="L40" s="15"/>
    </row>
    <row r="41" customFormat="false" ht="15" hidden="false" customHeight="false" outlineLevel="0" collapsed="false">
      <c r="B41" s="15"/>
      <c r="C41" s="16"/>
      <c r="D41" s="15"/>
      <c r="E41" s="17"/>
      <c r="F41" s="18"/>
      <c r="G41" s="18"/>
      <c r="H41" s="19"/>
      <c r="I41" s="15"/>
      <c r="J41" s="15"/>
      <c r="K41" s="15"/>
      <c r="L41" s="15"/>
    </row>
    <row r="42" customFormat="false" ht="15" hidden="false" customHeight="false" outlineLevel="0" collapsed="false">
      <c r="B42" s="15"/>
      <c r="C42" s="16"/>
      <c r="D42" s="15"/>
      <c r="E42" s="17"/>
      <c r="F42" s="18"/>
      <c r="G42" s="18"/>
      <c r="H42" s="19"/>
      <c r="I42" s="15"/>
      <c r="J42" s="15"/>
      <c r="K42" s="15"/>
      <c r="L42" s="15"/>
    </row>
    <row r="43" customFormat="false" ht="15" hidden="false" customHeight="false" outlineLevel="0" collapsed="false">
      <c r="B43" s="15"/>
      <c r="C43" s="16"/>
      <c r="D43" s="15"/>
      <c r="E43" s="17"/>
      <c r="F43" s="18"/>
      <c r="G43" s="18"/>
      <c r="H43" s="19"/>
      <c r="I43" s="15"/>
      <c r="J43" s="15"/>
      <c r="K43" s="15"/>
      <c r="L43" s="15"/>
    </row>
    <row r="44" customFormat="false" ht="15" hidden="false" customHeight="false" outlineLevel="0" collapsed="false">
      <c r="B44" s="15"/>
      <c r="C44" s="16"/>
      <c r="D44" s="15"/>
      <c r="E44" s="17"/>
      <c r="F44" s="18"/>
      <c r="G44" s="18"/>
      <c r="H44" s="19"/>
      <c r="I44" s="15"/>
      <c r="J44" s="15"/>
      <c r="K44" s="15"/>
      <c r="L44" s="15"/>
    </row>
    <row r="46" customFormat="false" ht="15" hidden="false" customHeight="false" outlineLevel="0" collapsed="false">
      <c r="B46" s="6" t="s">
        <v>86</v>
      </c>
      <c r="E46" s="20" t="n">
        <f aca="false">COUNTA(B5:B44)</f>
        <v>3</v>
      </c>
    </row>
    <row r="47" customFormat="false" ht="15" hidden="false" customHeight="false" outlineLevel="0" collapsed="false">
      <c r="B47" s="6" t="s">
        <v>87</v>
      </c>
      <c r="E47" s="20" t="n">
        <f aca="false">COUNTIF(K5:K44,"높음")</f>
        <v>1</v>
      </c>
    </row>
    <row r="48" customFormat="false" ht="15" hidden="false" customHeight="false" outlineLevel="0" collapsed="false">
      <c r="B48" s="21" t="s">
        <v>66</v>
      </c>
      <c r="E48" s="20" t="n">
        <f aca="false">COUNTIF(I5:I44,"예")</f>
        <v>2</v>
      </c>
    </row>
    <row r="49" customFormat="false" ht="15" hidden="false" customHeight="false" outlineLevel="0" collapsed="false">
      <c r="B49" s="6" t="s">
        <v>88</v>
      </c>
      <c r="E49" s="20" t="n">
        <f aca="false">COUNTIF(H5:H44,"&gt;=0.8")</f>
        <v>1</v>
      </c>
    </row>
    <row r="50" customFormat="false" ht="15" hidden="false" customHeight="false" outlineLevel="0" collapsed="false">
      <c r="B50" s="6" t="s">
        <v>89</v>
      </c>
      <c r="E50" s="20" t="n">
        <f aca="true">IF(COUNT(G5:G44)=0,0,COUNTIF(G5:G44,"&lt;="&amp;(YEAR(TODAY())+3))-COUNTIF(G5:G44,0))</f>
        <v>1</v>
      </c>
    </row>
    <row r="52" customFormat="false" ht="15" hidden="false" customHeight="false" outlineLevel="0" collapsed="false">
      <c r="B52" s="7" t="s">
        <v>90</v>
      </c>
    </row>
    <row r="53" customFormat="false" ht="27.75" hidden="false" customHeight="true" outlineLevel="0" collapsed="false">
      <c r="C53" s="22" t="s">
        <v>91</v>
      </c>
      <c r="D53" s="22"/>
      <c r="E53" s="22"/>
      <c r="F53" s="22"/>
      <c r="G53" s="22"/>
      <c r="H53" s="22"/>
      <c r="I53" s="22"/>
      <c r="J53" s="22"/>
      <c r="K53" s="22"/>
      <c r="L53" s="22"/>
    </row>
    <row r="54" customFormat="false" ht="27.75" hidden="false" customHeight="true" outlineLevel="0" collapsed="false">
      <c r="C54" s="22" t="s">
        <v>92</v>
      </c>
      <c r="D54" s="22"/>
      <c r="E54" s="22"/>
      <c r="F54" s="22"/>
      <c r="G54" s="22"/>
      <c r="H54" s="22"/>
      <c r="I54" s="22"/>
      <c r="J54" s="22"/>
      <c r="K54" s="22"/>
      <c r="L54" s="22"/>
    </row>
    <row r="55" customFormat="false" ht="27.75" hidden="false" customHeight="true" outlineLevel="0" collapsed="false">
      <c r="C55" s="22" t="s">
        <v>93</v>
      </c>
      <c r="D55" s="22"/>
      <c r="E55" s="22"/>
      <c r="F55" s="22"/>
      <c r="G55" s="22"/>
      <c r="H55" s="22"/>
      <c r="I55" s="22"/>
      <c r="J55" s="22"/>
      <c r="K55" s="22"/>
      <c r="L55" s="22"/>
    </row>
    <row r="56" customFormat="false" ht="27.75" hidden="false" customHeight="true" outlineLevel="0" collapsed="false">
      <c r="C56" s="22" t="s">
        <v>94</v>
      </c>
      <c r="D56" s="22"/>
      <c r="E56" s="22"/>
      <c r="F56" s="22"/>
      <c r="G56" s="22"/>
      <c r="H56" s="22"/>
      <c r="I56" s="22"/>
      <c r="J56" s="22"/>
      <c r="K56" s="22"/>
      <c r="L56" s="22"/>
    </row>
    <row r="57" customFormat="false" ht="27.75" hidden="false" customHeight="true" outlineLevel="0" collapsed="false">
      <c r="C57" s="22" t="s">
        <v>95</v>
      </c>
      <c r="D57" s="22"/>
      <c r="E57" s="22"/>
      <c r="F57" s="22"/>
      <c r="G57" s="22"/>
      <c r="H57" s="22"/>
      <c r="I57" s="22"/>
      <c r="J57" s="22"/>
      <c r="K57" s="22"/>
      <c r="L57" s="22"/>
    </row>
    <row r="60" customFormat="false" ht="15" hidden="false" customHeight="false" outlineLevel="0" collapsed="false">
      <c r="B60" s="9" t="s">
        <v>36</v>
      </c>
    </row>
  </sheetData>
  <mergeCells count="5">
    <mergeCell ref="C53:L53"/>
    <mergeCell ref="C54:L54"/>
    <mergeCell ref="C55:L55"/>
    <mergeCell ref="C56:L56"/>
    <mergeCell ref="C57:L57"/>
  </mergeCells>
  <dataValidations count="3">
    <dataValidation allowBlank="true" errorStyle="stop" operator="between" showDropDown="false" showErrorMessage="false" showInputMessage="false" sqref="C5:C44" type="list">
      <formula1>"VC,AC,CVC,신기사,개인투자조합,엔젤,기타"</formula1>
      <formula2>0</formula2>
    </dataValidation>
    <dataValidation allowBlank="true" errorStyle="stop" operator="between" showDropDown="false" showErrorMessage="false" showInputMessage="false" sqref="I5:J44" type="list">
      <formula1>"예,아니오,모름"</formula1>
      <formula2>0</formula2>
    </dataValidation>
    <dataValidation allowBlank="true" errorStyle="stop" operator="between" showDropDown="false" showErrorMessage="false" showInputMessage="false" sqref="K5:K44" type="list">
      <formula1>"높음,보통,낮음"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9" min="4" style="0" width="12"/>
    <col collapsed="false" customWidth="true" hidden="false" outlineLevel="0" max="10" min="10" style="0" width="13"/>
    <col collapsed="false" customWidth="true" hidden="false" outlineLevel="0" max="11" min="11" style="0" width="16"/>
    <col collapsed="false" customWidth="true" hidden="false" outlineLevel="0" max="12" min="12" style="0" width="30"/>
    <col collapsed="false" customWidth="true" hidden="false" outlineLevel="0" max="13" min="13" style="0" width="12"/>
    <col collapsed="false" customWidth="true" hidden="false" outlineLevel="0" max="14" min="14" style="0" width="14"/>
    <col collapsed="false" customWidth="true" hidden="false" outlineLevel="0" max="15" min="15" style="0" width="26"/>
    <col collapsed="false" customWidth="true" hidden="false" outlineLevel="0" max="16" min="16" style="0" width="10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9" t="s">
        <v>97</v>
      </c>
    </row>
    <row r="4" customFormat="false" ht="15" hidden="false" customHeight="false" outlineLevel="0" collapsed="false">
      <c r="A4" s="14"/>
      <c r="B4" s="14" t="s">
        <v>59</v>
      </c>
      <c r="C4" s="14" t="s">
        <v>98</v>
      </c>
      <c r="D4" s="14" t="s">
        <v>99</v>
      </c>
      <c r="E4" s="13" t="s">
        <v>100</v>
      </c>
      <c r="F4" s="13" t="s">
        <v>101</v>
      </c>
      <c r="G4" s="14" t="s">
        <v>102</v>
      </c>
      <c r="H4" s="14" t="s">
        <v>103</v>
      </c>
      <c r="I4" s="14" t="s">
        <v>104</v>
      </c>
      <c r="J4" s="14" t="s">
        <v>105</v>
      </c>
      <c r="K4" s="14" t="s">
        <v>106</v>
      </c>
      <c r="L4" s="14" t="s">
        <v>107</v>
      </c>
      <c r="M4" s="14" t="s">
        <v>108</v>
      </c>
      <c r="N4" s="14" t="s">
        <v>109</v>
      </c>
      <c r="O4" s="14" t="s">
        <v>110</v>
      </c>
      <c r="P4" s="14" t="s">
        <v>111</v>
      </c>
    </row>
    <row r="5" customFormat="false" ht="15" hidden="false" customHeight="false" outlineLevel="0" collapsed="false">
      <c r="A5" s="23" t="n">
        <v>1</v>
      </c>
      <c r="B5" s="15" t="s">
        <v>70</v>
      </c>
      <c r="C5" s="15" t="s">
        <v>112</v>
      </c>
      <c r="D5" s="24" t="n">
        <v>46244</v>
      </c>
      <c r="E5" s="24" t="n">
        <v>46258</v>
      </c>
      <c r="F5" s="24" t="n">
        <v>46267</v>
      </c>
      <c r="G5" s="24"/>
      <c r="H5" s="24"/>
      <c r="I5" s="24"/>
      <c r="J5" s="15" t="s">
        <v>113</v>
      </c>
      <c r="K5" s="17" t="n">
        <v>300000000</v>
      </c>
      <c r="L5" s="25" t="s">
        <v>114</v>
      </c>
      <c r="M5" s="24" t="n">
        <v>46277</v>
      </c>
      <c r="N5" s="16"/>
      <c r="O5" s="25"/>
      <c r="P5" s="2" t="n">
        <f aca="false">IF(OR(B5="",M5=""),"",M5*1000+60)</f>
        <v>46277060</v>
      </c>
    </row>
    <row r="6" customFormat="false" ht="15" hidden="false" customHeight="false" outlineLevel="0" collapsed="false">
      <c r="A6" s="23" t="n">
        <v>2</v>
      </c>
      <c r="B6" s="15" t="s">
        <v>76</v>
      </c>
      <c r="C6" s="15" t="s">
        <v>115</v>
      </c>
      <c r="D6" s="24" t="n">
        <v>46251</v>
      </c>
      <c r="E6" s="24"/>
      <c r="F6" s="24"/>
      <c r="G6" s="24"/>
      <c r="H6" s="24"/>
      <c r="I6" s="24"/>
      <c r="J6" s="15" t="s">
        <v>113</v>
      </c>
      <c r="K6" s="17" t="n">
        <v>200000000</v>
      </c>
      <c r="L6" s="25" t="s">
        <v>116</v>
      </c>
      <c r="M6" s="24" t="n">
        <v>46273</v>
      </c>
      <c r="N6" s="16"/>
      <c r="O6" s="25"/>
      <c r="P6" s="2" t="n">
        <f aca="false">IF(OR(B6="",M6=""),"",M6*1000+59)</f>
        <v>46273059</v>
      </c>
    </row>
    <row r="7" customFormat="false" ht="29.85" hidden="false" customHeight="false" outlineLevel="0" collapsed="false">
      <c r="A7" s="23" t="n">
        <v>3</v>
      </c>
      <c r="B7" s="15" t="s">
        <v>81</v>
      </c>
      <c r="C7" s="15" t="s">
        <v>117</v>
      </c>
      <c r="D7" s="24" t="n">
        <v>46209</v>
      </c>
      <c r="E7" s="24" t="n">
        <v>46218</v>
      </c>
      <c r="F7" s="24" t="n">
        <v>46231</v>
      </c>
      <c r="G7" s="24" t="n">
        <v>46239</v>
      </c>
      <c r="H7" s="24"/>
      <c r="I7" s="24" t="n">
        <v>46247</v>
      </c>
      <c r="J7" s="15" t="s">
        <v>118</v>
      </c>
      <c r="K7" s="17" t="n">
        <v>500000000</v>
      </c>
      <c r="L7" s="25"/>
      <c r="M7" s="24"/>
      <c r="N7" s="15" t="s">
        <v>119</v>
      </c>
      <c r="O7" s="26" t="s">
        <v>120</v>
      </c>
      <c r="P7" s="2" t="str">
        <f aca="false">IF(OR(B7="",M7=""),"",M7*1000+58)</f>
        <v/>
      </c>
    </row>
    <row r="8" customFormat="false" ht="29.85" hidden="false" customHeight="false" outlineLevel="0" collapsed="false">
      <c r="A8" s="23" t="n">
        <v>4</v>
      </c>
      <c r="B8" s="15" t="s">
        <v>121</v>
      </c>
      <c r="C8" s="15" t="s">
        <v>122</v>
      </c>
      <c r="D8" s="24" t="n">
        <v>46223</v>
      </c>
      <c r="E8" s="24" t="n">
        <v>46237</v>
      </c>
      <c r="F8" s="24"/>
      <c r="G8" s="24"/>
      <c r="H8" s="24"/>
      <c r="I8" s="24" t="n">
        <v>46254</v>
      </c>
      <c r="J8" s="15" t="s">
        <v>118</v>
      </c>
      <c r="K8" s="17" t="n">
        <v>300000000</v>
      </c>
      <c r="L8" s="26"/>
      <c r="M8" s="24"/>
      <c r="N8" s="15" t="s">
        <v>119</v>
      </c>
      <c r="O8" s="26" t="s">
        <v>123</v>
      </c>
      <c r="P8" s="2" t="str">
        <f aca="false">IF(OR(B8="",M8=""),"",M8*1000+57)</f>
        <v/>
      </c>
    </row>
    <row r="9" customFormat="false" ht="15" hidden="false" customHeight="false" outlineLevel="0" collapsed="false">
      <c r="A9" s="23" t="n">
        <v>5</v>
      </c>
      <c r="B9" s="15" t="s">
        <v>124</v>
      </c>
      <c r="C9" s="15" t="s">
        <v>125</v>
      </c>
      <c r="D9" s="24" t="n">
        <v>46225</v>
      </c>
      <c r="E9" s="24" t="n">
        <v>46240</v>
      </c>
      <c r="F9" s="24" t="n">
        <v>46253</v>
      </c>
      <c r="G9" s="24"/>
      <c r="H9" s="24"/>
      <c r="I9" s="24" t="n">
        <v>46262</v>
      </c>
      <c r="J9" s="15" t="s">
        <v>118</v>
      </c>
      <c r="K9" s="17" t="n">
        <v>400000000</v>
      </c>
      <c r="L9" s="26"/>
      <c r="M9" s="24"/>
      <c r="N9" s="15" t="s">
        <v>126</v>
      </c>
      <c r="O9" s="25" t="s">
        <v>127</v>
      </c>
      <c r="P9" s="2" t="str">
        <f aca="false">IF(OR(B9="",M9=""),"",M9*1000+56)</f>
        <v/>
      </c>
    </row>
    <row r="10" customFormat="false" ht="15" hidden="false" customHeight="false" outlineLevel="0" collapsed="false">
      <c r="A10" s="23" t="n">
        <v>6</v>
      </c>
      <c r="B10" s="15" t="s">
        <v>128</v>
      </c>
      <c r="C10" s="15" t="s">
        <v>129</v>
      </c>
      <c r="D10" s="24" t="n">
        <v>46188</v>
      </c>
      <c r="E10" s="24" t="n">
        <v>46202</v>
      </c>
      <c r="F10" s="24" t="n">
        <v>46213</v>
      </c>
      <c r="G10" s="24" t="n">
        <v>46227</v>
      </c>
      <c r="H10" s="24" t="n">
        <v>46241</v>
      </c>
      <c r="I10" s="24" t="n">
        <v>46248</v>
      </c>
      <c r="J10" s="15" t="s">
        <v>130</v>
      </c>
      <c r="K10" s="17" t="n">
        <v>300000000</v>
      </c>
      <c r="L10" s="26" t="s">
        <v>131</v>
      </c>
      <c r="M10" s="24" t="n">
        <v>46285</v>
      </c>
      <c r="N10" s="15"/>
      <c r="O10" s="26"/>
      <c r="P10" s="2" t="n">
        <f aca="false">IF(OR(B10="",M10=""),"",M10*1000+55)</f>
        <v>46285055</v>
      </c>
    </row>
    <row r="11" customFormat="false" ht="15" hidden="false" customHeight="false" outlineLevel="0" collapsed="false">
      <c r="A11" s="23" t="n">
        <v>7</v>
      </c>
      <c r="B11" s="15"/>
      <c r="C11" s="15"/>
      <c r="D11" s="24"/>
      <c r="E11" s="24"/>
      <c r="F11" s="24"/>
      <c r="G11" s="24"/>
      <c r="H11" s="24"/>
      <c r="I11" s="24"/>
      <c r="J11" s="15"/>
      <c r="K11" s="17"/>
      <c r="L11" s="26"/>
      <c r="M11" s="24"/>
      <c r="N11" s="15"/>
      <c r="O11" s="26"/>
      <c r="P11" s="2" t="str">
        <f aca="false">IF(OR(B11="",M11=""),"",M11*1000+54)</f>
        <v/>
      </c>
    </row>
    <row r="12" customFormat="false" ht="15" hidden="false" customHeight="false" outlineLevel="0" collapsed="false">
      <c r="A12" s="23" t="n">
        <v>8</v>
      </c>
      <c r="B12" s="15"/>
      <c r="C12" s="15"/>
      <c r="D12" s="24"/>
      <c r="E12" s="24"/>
      <c r="F12" s="24"/>
      <c r="G12" s="24"/>
      <c r="H12" s="24"/>
      <c r="I12" s="24"/>
      <c r="J12" s="15"/>
      <c r="K12" s="17"/>
      <c r="L12" s="26"/>
      <c r="M12" s="24"/>
      <c r="N12" s="15"/>
      <c r="O12" s="26"/>
      <c r="P12" s="2" t="str">
        <f aca="false">IF(OR(B12="",M12=""),"",M12*1000+53)</f>
        <v/>
      </c>
    </row>
    <row r="13" customFormat="false" ht="15" hidden="false" customHeight="false" outlineLevel="0" collapsed="false">
      <c r="A13" s="23" t="n">
        <v>9</v>
      </c>
      <c r="B13" s="15"/>
      <c r="C13" s="15"/>
      <c r="D13" s="24"/>
      <c r="E13" s="24"/>
      <c r="F13" s="24"/>
      <c r="G13" s="24"/>
      <c r="H13" s="24"/>
      <c r="I13" s="24"/>
      <c r="J13" s="15"/>
      <c r="K13" s="17"/>
      <c r="L13" s="26"/>
      <c r="M13" s="24"/>
      <c r="N13" s="15"/>
      <c r="O13" s="26"/>
      <c r="P13" s="2" t="str">
        <f aca="false">IF(OR(B13="",M13=""),"",M13*1000+52)</f>
        <v/>
      </c>
    </row>
    <row r="14" customFormat="false" ht="15" hidden="false" customHeight="false" outlineLevel="0" collapsed="false">
      <c r="A14" s="23" t="n">
        <v>10</v>
      </c>
      <c r="B14" s="15"/>
      <c r="C14" s="15"/>
      <c r="D14" s="24"/>
      <c r="E14" s="24"/>
      <c r="F14" s="24"/>
      <c r="G14" s="24"/>
      <c r="H14" s="24"/>
      <c r="I14" s="24"/>
      <c r="J14" s="15"/>
      <c r="K14" s="17"/>
      <c r="L14" s="26"/>
      <c r="M14" s="24"/>
      <c r="N14" s="15"/>
      <c r="O14" s="26"/>
      <c r="P14" s="2" t="str">
        <f aca="false">IF(OR(B14="",M14=""),"",M14*1000+51)</f>
        <v/>
      </c>
    </row>
    <row r="15" customFormat="false" ht="15" hidden="false" customHeight="false" outlineLevel="0" collapsed="false">
      <c r="A15" s="23" t="n">
        <v>11</v>
      </c>
      <c r="B15" s="15"/>
      <c r="C15" s="15"/>
      <c r="D15" s="24"/>
      <c r="E15" s="24"/>
      <c r="F15" s="24"/>
      <c r="G15" s="24"/>
      <c r="H15" s="24"/>
      <c r="I15" s="24"/>
      <c r="J15" s="15"/>
      <c r="K15" s="17"/>
      <c r="L15" s="26"/>
      <c r="M15" s="24"/>
      <c r="N15" s="15"/>
      <c r="O15" s="26"/>
      <c r="P15" s="2" t="str">
        <f aca="false">IF(OR(B15="",M15=""),"",M15*1000+50)</f>
        <v/>
      </c>
    </row>
    <row r="16" customFormat="false" ht="15" hidden="false" customHeight="false" outlineLevel="0" collapsed="false">
      <c r="A16" s="23" t="n">
        <v>12</v>
      </c>
      <c r="B16" s="15"/>
      <c r="C16" s="15"/>
      <c r="D16" s="24"/>
      <c r="E16" s="24"/>
      <c r="F16" s="24"/>
      <c r="G16" s="24"/>
      <c r="H16" s="24"/>
      <c r="I16" s="24"/>
      <c r="J16" s="15"/>
      <c r="K16" s="17"/>
      <c r="L16" s="26"/>
      <c r="M16" s="24"/>
      <c r="N16" s="15"/>
      <c r="O16" s="26"/>
      <c r="P16" s="2" t="str">
        <f aca="false">IF(OR(B16="",M16=""),"",M16*1000+49)</f>
        <v/>
      </c>
    </row>
    <row r="17" customFormat="false" ht="15" hidden="false" customHeight="false" outlineLevel="0" collapsed="false">
      <c r="A17" s="23" t="n">
        <v>13</v>
      </c>
      <c r="B17" s="15"/>
      <c r="C17" s="15"/>
      <c r="D17" s="24"/>
      <c r="E17" s="24"/>
      <c r="F17" s="24"/>
      <c r="G17" s="24"/>
      <c r="H17" s="24"/>
      <c r="I17" s="24"/>
      <c r="J17" s="15"/>
      <c r="K17" s="17"/>
      <c r="L17" s="26"/>
      <c r="M17" s="24"/>
      <c r="N17" s="15"/>
      <c r="O17" s="26"/>
      <c r="P17" s="2" t="str">
        <f aca="false">IF(OR(B17="",M17=""),"",M17*1000+48)</f>
        <v/>
      </c>
    </row>
    <row r="18" customFormat="false" ht="15" hidden="false" customHeight="false" outlineLevel="0" collapsed="false">
      <c r="A18" s="23" t="n">
        <v>14</v>
      </c>
      <c r="B18" s="15"/>
      <c r="C18" s="15"/>
      <c r="D18" s="24"/>
      <c r="E18" s="24"/>
      <c r="F18" s="24"/>
      <c r="G18" s="24"/>
      <c r="H18" s="24"/>
      <c r="I18" s="24"/>
      <c r="J18" s="15"/>
      <c r="K18" s="17"/>
      <c r="L18" s="26"/>
      <c r="M18" s="24"/>
      <c r="N18" s="15"/>
      <c r="O18" s="26"/>
      <c r="P18" s="2" t="str">
        <f aca="false">IF(OR(B18="",M18=""),"",M18*1000+47)</f>
        <v/>
      </c>
    </row>
    <row r="19" customFormat="false" ht="15" hidden="false" customHeight="false" outlineLevel="0" collapsed="false">
      <c r="A19" s="23" t="n">
        <v>15</v>
      </c>
      <c r="B19" s="15"/>
      <c r="C19" s="15"/>
      <c r="D19" s="24"/>
      <c r="E19" s="24"/>
      <c r="F19" s="24"/>
      <c r="G19" s="24"/>
      <c r="H19" s="24"/>
      <c r="I19" s="24"/>
      <c r="J19" s="15"/>
      <c r="K19" s="17"/>
      <c r="L19" s="26"/>
      <c r="M19" s="24"/>
      <c r="N19" s="15"/>
      <c r="O19" s="26"/>
      <c r="P19" s="2" t="str">
        <f aca="false">IF(OR(B19="",M19=""),"",M19*1000+46)</f>
        <v/>
      </c>
    </row>
    <row r="20" customFormat="false" ht="15" hidden="false" customHeight="false" outlineLevel="0" collapsed="false">
      <c r="A20" s="23" t="n">
        <v>16</v>
      </c>
      <c r="B20" s="15"/>
      <c r="C20" s="15"/>
      <c r="D20" s="24"/>
      <c r="E20" s="24"/>
      <c r="F20" s="24"/>
      <c r="G20" s="24"/>
      <c r="H20" s="24"/>
      <c r="I20" s="24"/>
      <c r="J20" s="15"/>
      <c r="K20" s="17"/>
      <c r="L20" s="26"/>
      <c r="M20" s="24"/>
      <c r="N20" s="15"/>
      <c r="O20" s="26"/>
      <c r="P20" s="2" t="str">
        <f aca="false">IF(OR(B20="",M20=""),"",M20*1000+45)</f>
        <v/>
      </c>
    </row>
    <row r="21" customFormat="false" ht="15" hidden="false" customHeight="false" outlineLevel="0" collapsed="false">
      <c r="A21" s="23" t="n">
        <v>17</v>
      </c>
      <c r="B21" s="15"/>
      <c r="C21" s="15"/>
      <c r="D21" s="24"/>
      <c r="E21" s="24"/>
      <c r="F21" s="24"/>
      <c r="G21" s="24"/>
      <c r="H21" s="24"/>
      <c r="I21" s="24"/>
      <c r="J21" s="15"/>
      <c r="K21" s="17"/>
      <c r="L21" s="26"/>
      <c r="M21" s="24"/>
      <c r="N21" s="15"/>
      <c r="O21" s="26"/>
      <c r="P21" s="2" t="str">
        <f aca="false">IF(OR(B21="",M21=""),"",M21*1000+44)</f>
        <v/>
      </c>
    </row>
    <row r="22" customFormat="false" ht="15" hidden="false" customHeight="false" outlineLevel="0" collapsed="false">
      <c r="A22" s="23" t="n">
        <v>18</v>
      </c>
      <c r="B22" s="15"/>
      <c r="C22" s="15"/>
      <c r="D22" s="24"/>
      <c r="E22" s="24"/>
      <c r="F22" s="24"/>
      <c r="G22" s="24"/>
      <c r="H22" s="24"/>
      <c r="I22" s="24"/>
      <c r="J22" s="15"/>
      <c r="K22" s="17"/>
      <c r="L22" s="26"/>
      <c r="M22" s="24"/>
      <c r="N22" s="15"/>
      <c r="O22" s="26"/>
      <c r="P22" s="2" t="str">
        <f aca="false">IF(OR(B22="",M22=""),"",M22*1000+43)</f>
        <v/>
      </c>
    </row>
    <row r="23" customFormat="false" ht="15" hidden="false" customHeight="false" outlineLevel="0" collapsed="false">
      <c r="A23" s="23" t="n">
        <v>19</v>
      </c>
      <c r="B23" s="15"/>
      <c r="C23" s="15"/>
      <c r="D23" s="24"/>
      <c r="E23" s="24"/>
      <c r="F23" s="24"/>
      <c r="G23" s="24"/>
      <c r="H23" s="24"/>
      <c r="I23" s="24"/>
      <c r="J23" s="15"/>
      <c r="K23" s="17"/>
      <c r="L23" s="26"/>
      <c r="M23" s="24"/>
      <c r="N23" s="15"/>
      <c r="O23" s="26"/>
      <c r="P23" s="2" t="str">
        <f aca="false">IF(OR(B23="",M23=""),"",M23*1000+42)</f>
        <v/>
      </c>
    </row>
    <row r="24" customFormat="false" ht="15" hidden="false" customHeight="false" outlineLevel="0" collapsed="false">
      <c r="A24" s="23" t="n">
        <v>20</v>
      </c>
      <c r="B24" s="15"/>
      <c r="C24" s="15"/>
      <c r="D24" s="24"/>
      <c r="E24" s="24"/>
      <c r="F24" s="24"/>
      <c r="G24" s="24"/>
      <c r="H24" s="24"/>
      <c r="I24" s="24"/>
      <c r="J24" s="15"/>
      <c r="K24" s="17"/>
      <c r="L24" s="26"/>
      <c r="M24" s="24"/>
      <c r="N24" s="15"/>
      <c r="O24" s="26"/>
      <c r="P24" s="2" t="str">
        <f aca="false">IF(OR(B24="",M24=""),"",M24*1000+41)</f>
        <v/>
      </c>
    </row>
    <row r="25" customFormat="false" ht="15" hidden="false" customHeight="false" outlineLevel="0" collapsed="false">
      <c r="A25" s="23" t="n">
        <v>21</v>
      </c>
      <c r="B25" s="15"/>
      <c r="C25" s="15"/>
      <c r="D25" s="24"/>
      <c r="E25" s="24"/>
      <c r="F25" s="24"/>
      <c r="G25" s="24"/>
      <c r="H25" s="24"/>
      <c r="I25" s="24"/>
      <c r="J25" s="15"/>
      <c r="K25" s="17"/>
      <c r="L25" s="26"/>
      <c r="M25" s="24"/>
      <c r="N25" s="15"/>
      <c r="O25" s="26"/>
      <c r="P25" s="2" t="str">
        <f aca="false">IF(OR(B25="",M25=""),"",M25*1000+40)</f>
        <v/>
      </c>
    </row>
    <row r="26" customFormat="false" ht="15" hidden="false" customHeight="false" outlineLevel="0" collapsed="false">
      <c r="A26" s="23" t="n">
        <v>22</v>
      </c>
      <c r="B26" s="15"/>
      <c r="C26" s="15"/>
      <c r="D26" s="24"/>
      <c r="E26" s="24"/>
      <c r="F26" s="24"/>
      <c r="G26" s="24"/>
      <c r="H26" s="24"/>
      <c r="I26" s="24"/>
      <c r="J26" s="15"/>
      <c r="K26" s="17"/>
      <c r="L26" s="26"/>
      <c r="M26" s="24"/>
      <c r="N26" s="15"/>
      <c r="O26" s="26"/>
      <c r="P26" s="2" t="str">
        <f aca="false">IF(OR(B26="",M26=""),"",M26*1000+39)</f>
        <v/>
      </c>
    </row>
    <row r="27" customFormat="false" ht="15" hidden="false" customHeight="false" outlineLevel="0" collapsed="false">
      <c r="A27" s="23" t="n">
        <v>23</v>
      </c>
      <c r="B27" s="15"/>
      <c r="C27" s="15"/>
      <c r="D27" s="24"/>
      <c r="E27" s="24"/>
      <c r="F27" s="24"/>
      <c r="G27" s="24"/>
      <c r="H27" s="24"/>
      <c r="I27" s="24"/>
      <c r="J27" s="15"/>
      <c r="K27" s="17"/>
      <c r="L27" s="26"/>
      <c r="M27" s="24"/>
      <c r="N27" s="15"/>
      <c r="O27" s="26"/>
      <c r="P27" s="2" t="str">
        <f aca="false">IF(OR(B27="",M27=""),"",M27*1000+38)</f>
        <v/>
      </c>
    </row>
    <row r="28" customFormat="false" ht="15" hidden="false" customHeight="false" outlineLevel="0" collapsed="false">
      <c r="A28" s="23" t="n">
        <v>24</v>
      </c>
      <c r="B28" s="15"/>
      <c r="C28" s="15"/>
      <c r="D28" s="24"/>
      <c r="E28" s="24"/>
      <c r="F28" s="24"/>
      <c r="G28" s="24"/>
      <c r="H28" s="24"/>
      <c r="I28" s="24"/>
      <c r="J28" s="15"/>
      <c r="K28" s="17"/>
      <c r="L28" s="26"/>
      <c r="M28" s="24"/>
      <c r="N28" s="15"/>
      <c r="O28" s="26"/>
      <c r="P28" s="2" t="str">
        <f aca="false">IF(OR(B28="",M28=""),"",M28*1000+37)</f>
        <v/>
      </c>
    </row>
    <row r="29" customFormat="false" ht="15" hidden="false" customHeight="false" outlineLevel="0" collapsed="false">
      <c r="A29" s="23" t="n">
        <v>25</v>
      </c>
      <c r="B29" s="15"/>
      <c r="C29" s="15"/>
      <c r="D29" s="24"/>
      <c r="E29" s="24"/>
      <c r="F29" s="24"/>
      <c r="G29" s="24"/>
      <c r="H29" s="24"/>
      <c r="I29" s="24"/>
      <c r="J29" s="15"/>
      <c r="K29" s="17"/>
      <c r="L29" s="26"/>
      <c r="M29" s="24"/>
      <c r="N29" s="15"/>
      <c r="O29" s="26"/>
      <c r="P29" s="2" t="str">
        <f aca="false">IF(OR(B29="",M29=""),"",M29*1000+36)</f>
        <v/>
      </c>
    </row>
    <row r="30" customFormat="false" ht="15" hidden="false" customHeight="false" outlineLevel="0" collapsed="false">
      <c r="A30" s="23" t="n">
        <v>26</v>
      </c>
      <c r="B30" s="15"/>
      <c r="C30" s="15"/>
      <c r="D30" s="24"/>
      <c r="E30" s="24"/>
      <c r="F30" s="24"/>
      <c r="G30" s="24"/>
      <c r="H30" s="24"/>
      <c r="I30" s="24"/>
      <c r="J30" s="15"/>
      <c r="K30" s="17"/>
      <c r="L30" s="26"/>
      <c r="M30" s="24"/>
      <c r="N30" s="15"/>
      <c r="O30" s="26"/>
      <c r="P30" s="2" t="str">
        <f aca="false">IF(OR(B30="",M30=""),"",M30*1000+35)</f>
        <v/>
      </c>
    </row>
    <row r="31" customFormat="false" ht="15" hidden="false" customHeight="false" outlineLevel="0" collapsed="false">
      <c r="A31" s="23" t="n">
        <v>27</v>
      </c>
      <c r="B31" s="15"/>
      <c r="C31" s="15"/>
      <c r="D31" s="24"/>
      <c r="E31" s="24"/>
      <c r="F31" s="24"/>
      <c r="G31" s="24"/>
      <c r="H31" s="24"/>
      <c r="I31" s="24"/>
      <c r="J31" s="15"/>
      <c r="K31" s="17"/>
      <c r="L31" s="26"/>
      <c r="M31" s="24"/>
      <c r="N31" s="15"/>
      <c r="O31" s="26"/>
      <c r="P31" s="2" t="str">
        <f aca="false">IF(OR(B31="",M31=""),"",M31*1000+34)</f>
        <v/>
      </c>
    </row>
    <row r="32" customFormat="false" ht="15" hidden="false" customHeight="false" outlineLevel="0" collapsed="false">
      <c r="A32" s="23" t="n">
        <v>28</v>
      </c>
      <c r="B32" s="15"/>
      <c r="C32" s="15"/>
      <c r="D32" s="24"/>
      <c r="E32" s="24"/>
      <c r="F32" s="24"/>
      <c r="G32" s="24"/>
      <c r="H32" s="24"/>
      <c r="I32" s="24"/>
      <c r="J32" s="15"/>
      <c r="K32" s="17"/>
      <c r="L32" s="26"/>
      <c r="M32" s="24"/>
      <c r="N32" s="15"/>
      <c r="O32" s="26"/>
      <c r="P32" s="2" t="str">
        <f aca="false">IF(OR(B32="",M32=""),"",M32*1000+33)</f>
        <v/>
      </c>
    </row>
    <row r="33" customFormat="false" ht="15" hidden="false" customHeight="false" outlineLevel="0" collapsed="false">
      <c r="A33" s="23" t="n">
        <v>29</v>
      </c>
      <c r="B33" s="15"/>
      <c r="C33" s="15"/>
      <c r="D33" s="24"/>
      <c r="E33" s="24"/>
      <c r="F33" s="24"/>
      <c r="G33" s="24"/>
      <c r="H33" s="24"/>
      <c r="I33" s="24"/>
      <c r="J33" s="15"/>
      <c r="K33" s="17"/>
      <c r="L33" s="26"/>
      <c r="M33" s="24"/>
      <c r="N33" s="15"/>
      <c r="O33" s="26"/>
      <c r="P33" s="2" t="str">
        <f aca="false">IF(OR(B33="",M33=""),"",M33*1000+32)</f>
        <v/>
      </c>
    </row>
    <row r="34" customFormat="false" ht="15" hidden="false" customHeight="false" outlineLevel="0" collapsed="false">
      <c r="A34" s="23" t="n">
        <v>30</v>
      </c>
      <c r="B34" s="15"/>
      <c r="C34" s="15"/>
      <c r="D34" s="24"/>
      <c r="E34" s="24"/>
      <c r="F34" s="24"/>
      <c r="G34" s="24"/>
      <c r="H34" s="24"/>
      <c r="I34" s="24"/>
      <c r="J34" s="15"/>
      <c r="K34" s="17"/>
      <c r="L34" s="26"/>
      <c r="M34" s="24"/>
      <c r="N34" s="15"/>
      <c r="O34" s="26"/>
      <c r="P34" s="2" t="str">
        <f aca="false">IF(OR(B34="",M34=""),"",M34*1000+31)</f>
        <v/>
      </c>
    </row>
    <row r="35" customFormat="false" ht="15" hidden="false" customHeight="false" outlineLevel="0" collapsed="false">
      <c r="A35" s="23" t="n">
        <v>31</v>
      </c>
      <c r="B35" s="15"/>
      <c r="C35" s="15"/>
      <c r="D35" s="24"/>
      <c r="E35" s="24"/>
      <c r="F35" s="24"/>
      <c r="G35" s="24"/>
      <c r="H35" s="24"/>
      <c r="I35" s="24"/>
      <c r="J35" s="15"/>
      <c r="K35" s="17"/>
      <c r="L35" s="26"/>
      <c r="M35" s="24"/>
      <c r="N35" s="15"/>
      <c r="O35" s="26"/>
      <c r="P35" s="2" t="str">
        <f aca="false">IF(OR(B35="",M35=""),"",M35*1000+30)</f>
        <v/>
      </c>
    </row>
    <row r="36" customFormat="false" ht="15" hidden="false" customHeight="false" outlineLevel="0" collapsed="false">
      <c r="A36" s="23" t="n">
        <v>32</v>
      </c>
      <c r="B36" s="15"/>
      <c r="C36" s="15"/>
      <c r="D36" s="24"/>
      <c r="E36" s="24"/>
      <c r="F36" s="24"/>
      <c r="G36" s="24"/>
      <c r="H36" s="24"/>
      <c r="I36" s="24"/>
      <c r="J36" s="15"/>
      <c r="K36" s="17"/>
      <c r="L36" s="26"/>
      <c r="M36" s="24"/>
      <c r="N36" s="15"/>
      <c r="O36" s="26"/>
      <c r="P36" s="2" t="str">
        <f aca="false">IF(OR(B36="",M36=""),"",M36*1000+29)</f>
        <v/>
      </c>
    </row>
    <row r="37" customFormat="false" ht="15" hidden="false" customHeight="false" outlineLevel="0" collapsed="false">
      <c r="A37" s="23" t="n">
        <v>33</v>
      </c>
      <c r="B37" s="15"/>
      <c r="C37" s="15"/>
      <c r="D37" s="24"/>
      <c r="E37" s="24"/>
      <c r="F37" s="24"/>
      <c r="G37" s="24"/>
      <c r="H37" s="24"/>
      <c r="I37" s="24"/>
      <c r="J37" s="15"/>
      <c r="K37" s="17"/>
      <c r="L37" s="26"/>
      <c r="M37" s="24"/>
      <c r="N37" s="15"/>
      <c r="O37" s="26"/>
      <c r="P37" s="2" t="str">
        <f aca="false">IF(OR(B37="",M37=""),"",M37*1000+28)</f>
        <v/>
      </c>
    </row>
    <row r="38" customFormat="false" ht="15" hidden="false" customHeight="false" outlineLevel="0" collapsed="false">
      <c r="A38" s="23" t="n">
        <v>34</v>
      </c>
      <c r="B38" s="15"/>
      <c r="C38" s="15"/>
      <c r="D38" s="24"/>
      <c r="E38" s="24"/>
      <c r="F38" s="24"/>
      <c r="G38" s="24"/>
      <c r="H38" s="24"/>
      <c r="I38" s="24"/>
      <c r="J38" s="15"/>
      <c r="K38" s="17"/>
      <c r="L38" s="26"/>
      <c r="M38" s="24"/>
      <c r="N38" s="15"/>
      <c r="O38" s="26"/>
      <c r="P38" s="2" t="str">
        <f aca="false">IF(OR(B38="",M38=""),"",M38*1000+27)</f>
        <v/>
      </c>
    </row>
    <row r="39" customFormat="false" ht="15" hidden="false" customHeight="false" outlineLevel="0" collapsed="false">
      <c r="A39" s="23" t="n">
        <v>35</v>
      </c>
      <c r="B39" s="15"/>
      <c r="C39" s="15"/>
      <c r="D39" s="24"/>
      <c r="E39" s="24"/>
      <c r="F39" s="24"/>
      <c r="G39" s="24"/>
      <c r="H39" s="24"/>
      <c r="I39" s="24"/>
      <c r="J39" s="15"/>
      <c r="K39" s="17"/>
      <c r="L39" s="26"/>
      <c r="M39" s="24"/>
      <c r="N39" s="15"/>
      <c r="O39" s="26"/>
      <c r="P39" s="2" t="str">
        <f aca="false">IF(OR(B39="",M39=""),"",M39*1000+26)</f>
        <v/>
      </c>
    </row>
    <row r="40" customFormat="false" ht="15" hidden="false" customHeight="false" outlineLevel="0" collapsed="false">
      <c r="A40" s="23" t="n">
        <v>36</v>
      </c>
      <c r="B40" s="15"/>
      <c r="C40" s="15"/>
      <c r="D40" s="24"/>
      <c r="E40" s="24"/>
      <c r="F40" s="24"/>
      <c r="G40" s="24"/>
      <c r="H40" s="24"/>
      <c r="I40" s="24"/>
      <c r="J40" s="15"/>
      <c r="K40" s="17"/>
      <c r="L40" s="26"/>
      <c r="M40" s="24"/>
      <c r="N40" s="15"/>
      <c r="O40" s="26"/>
      <c r="P40" s="2" t="str">
        <f aca="false">IF(OR(B40="",M40=""),"",M40*1000+25)</f>
        <v/>
      </c>
    </row>
    <row r="41" customFormat="false" ht="15" hidden="false" customHeight="false" outlineLevel="0" collapsed="false">
      <c r="A41" s="23" t="n">
        <v>37</v>
      </c>
      <c r="B41" s="15"/>
      <c r="C41" s="15"/>
      <c r="D41" s="24"/>
      <c r="E41" s="24"/>
      <c r="F41" s="24"/>
      <c r="G41" s="24"/>
      <c r="H41" s="24"/>
      <c r="I41" s="24"/>
      <c r="J41" s="15"/>
      <c r="K41" s="17"/>
      <c r="L41" s="26"/>
      <c r="M41" s="24"/>
      <c r="N41" s="15"/>
      <c r="O41" s="26"/>
      <c r="P41" s="2" t="str">
        <f aca="false">IF(OR(B41="",M41=""),"",M41*1000+24)</f>
        <v/>
      </c>
    </row>
    <row r="42" customFormat="false" ht="15" hidden="false" customHeight="false" outlineLevel="0" collapsed="false">
      <c r="A42" s="23" t="n">
        <v>38</v>
      </c>
      <c r="B42" s="15"/>
      <c r="C42" s="15"/>
      <c r="D42" s="24"/>
      <c r="E42" s="24"/>
      <c r="F42" s="24"/>
      <c r="G42" s="24"/>
      <c r="H42" s="24"/>
      <c r="I42" s="24"/>
      <c r="J42" s="15"/>
      <c r="K42" s="17"/>
      <c r="L42" s="26"/>
      <c r="M42" s="24"/>
      <c r="N42" s="15"/>
      <c r="O42" s="26"/>
      <c r="P42" s="2" t="str">
        <f aca="false">IF(OR(B42="",M42=""),"",M42*1000+23)</f>
        <v/>
      </c>
    </row>
    <row r="43" customFormat="false" ht="15" hidden="false" customHeight="false" outlineLevel="0" collapsed="false">
      <c r="A43" s="23" t="n">
        <v>39</v>
      </c>
      <c r="B43" s="15"/>
      <c r="C43" s="15"/>
      <c r="D43" s="24"/>
      <c r="E43" s="24"/>
      <c r="F43" s="24"/>
      <c r="G43" s="24"/>
      <c r="H43" s="24"/>
      <c r="I43" s="24"/>
      <c r="J43" s="15"/>
      <c r="K43" s="17"/>
      <c r="L43" s="26"/>
      <c r="M43" s="24"/>
      <c r="N43" s="15"/>
      <c r="O43" s="26"/>
      <c r="P43" s="2" t="str">
        <f aca="false">IF(OR(B43="",M43=""),"",M43*1000+22)</f>
        <v/>
      </c>
    </row>
    <row r="44" customFormat="false" ht="15" hidden="false" customHeight="false" outlineLevel="0" collapsed="false">
      <c r="A44" s="23" t="n">
        <v>40</v>
      </c>
      <c r="B44" s="15"/>
      <c r="C44" s="15"/>
      <c r="D44" s="24"/>
      <c r="E44" s="24"/>
      <c r="F44" s="24"/>
      <c r="G44" s="24"/>
      <c r="H44" s="24"/>
      <c r="I44" s="24"/>
      <c r="J44" s="15"/>
      <c r="K44" s="17"/>
      <c r="L44" s="26"/>
      <c r="M44" s="24"/>
      <c r="N44" s="15"/>
      <c r="O44" s="26"/>
      <c r="P44" s="2" t="str">
        <f aca="false">IF(OR(B44="",M44=""),"",M44*1000+21)</f>
        <v/>
      </c>
    </row>
    <row r="45" customFormat="false" ht="15" hidden="false" customHeight="false" outlineLevel="0" collapsed="false">
      <c r="A45" s="23" t="n">
        <v>41</v>
      </c>
      <c r="B45" s="15"/>
      <c r="C45" s="15"/>
      <c r="D45" s="24"/>
      <c r="E45" s="24"/>
      <c r="F45" s="24"/>
      <c r="G45" s="24"/>
      <c r="H45" s="24"/>
      <c r="I45" s="24"/>
      <c r="J45" s="15"/>
      <c r="K45" s="17"/>
      <c r="L45" s="26"/>
      <c r="M45" s="24"/>
      <c r="N45" s="15"/>
      <c r="O45" s="26"/>
      <c r="P45" s="2" t="str">
        <f aca="false">IF(OR(B45="",M45=""),"",M45*1000+20)</f>
        <v/>
      </c>
    </row>
    <row r="46" customFormat="false" ht="15" hidden="false" customHeight="false" outlineLevel="0" collapsed="false">
      <c r="A46" s="23" t="n">
        <v>42</v>
      </c>
      <c r="B46" s="15"/>
      <c r="C46" s="15"/>
      <c r="D46" s="24"/>
      <c r="E46" s="24"/>
      <c r="F46" s="24"/>
      <c r="G46" s="24"/>
      <c r="H46" s="24"/>
      <c r="I46" s="24"/>
      <c r="J46" s="15"/>
      <c r="K46" s="17"/>
      <c r="L46" s="26"/>
      <c r="M46" s="24"/>
      <c r="N46" s="15"/>
      <c r="O46" s="26"/>
      <c r="P46" s="2" t="str">
        <f aca="false">IF(OR(B46="",M46=""),"",M46*1000+19)</f>
        <v/>
      </c>
    </row>
    <row r="47" customFormat="false" ht="15" hidden="false" customHeight="false" outlineLevel="0" collapsed="false">
      <c r="A47" s="23" t="n">
        <v>43</v>
      </c>
      <c r="B47" s="15"/>
      <c r="C47" s="15"/>
      <c r="D47" s="24"/>
      <c r="E47" s="24"/>
      <c r="F47" s="24"/>
      <c r="G47" s="24"/>
      <c r="H47" s="24"/>
      <c r="I47" s="24"/>
      <c r="J47" s="15"/>
      <c r="K47" s="17"/>
      <c r="L47" s="26"/>
      <c r="M47" s="24"/>
      <c r="N47" s="15"/>
      <c r="O47" s="26"/>
      <c r="P47" s="2" t="str">
        <f aca="false">IF(OR(B47="",M47=""),"",M47*1000+18)</f>
        <v/>
      </c>
    </row>
    <row r="48" customFormat="false" ht="15" hidden="false" customHeight="false" outlineLevel="0" collapsed="false">
      <c r="A48" s="23" t="n">
        <v>44</v>
      </c>
      <c r="B48" s="15"/>
      <c r="C48" s="15"/>
      <c r="D48" s="24"/>
      <c r="E48" s="24"/>
      <c r="F48" s="24"/>
      <c r="G48" s="24"/>
      <c r="H48" s="24"/>
      <c r="I48" s="24"/>
      <c r="J48" s="15"/>
      <c r="K48" s="17"/>
      <c r="L48" s="26"/>
      <c r="M48" s="24"/>
      <c r="N48" s="15"/>
      <c r="O48" s="26"/>
      <c r="P48" s="2" t="str">
        <f aca="false">IF(OR(B48="",M48=""),"",M48*1000+17)</f>
        <v/>
      </c>
    </row>
    <row r="49" customFormat="false" ht="15" hidden="false" customHeight="false" outlineLevel="0" collapsed="false">
      <c r="A49" s="23" t="n">
        <v>45</v>
      </c>
      <c r="B49" s="15"/>
      <c r="C49" s="15"/>
      <c r="D49" s="24"/>
      <c r="E49" s="24"/>
      <c r="F49" s="24"/>
      <c r="G49" s="24"/>
      <c r="H49" s="24"/>
      <c r="I49" s="24"/>
      <c r="J49" s="15"/>
      <c r="K49" s="17"/>
      <c r="L49" s="26"/>
      <c r="M49" s="24"/>
      <c r="N49" s="15"/>
      <c r="O49" s="26"/>
      <c r="P49" s="2" t="str">
        <f aca="false">IF(OR(B49="",M49=""),"",M49*1000+16)</f>
        <v/>
      </c>
    </row>
    <row r="50" customFormat="false" ht="15" hidden="false" customHeight="false" outlineLevel="0" collapsed="false">
      <c r="A50" s="23" t="n">
        <v>46</v>
      </c>
      <c r="B50" s="15"/>
      <c r="C50" s="15"/>
      <c r="D50" s="24"/>
      <c r="E50" s="24"/>
      <c r="F50" s="24"/>
      <c r="G50" s="24"/>
      <c r="H50" s="24"/>
      <c r="I50" s="24"/>
      <c r="J50" s="15"/>
      <c r="K50" s="17"/>
      <c r="L50" s="26"/>
      <c r="M50" s="24"/>
      <c r="N50" s="15"/>
      <c r="O50" s="26"/>
      <c r="P50" s="2" t="str">
        <f aca="false">IF(OR(B50="",M50=""),"",M50*1000+15)</f>
        <v/>
      </c>
    </row>
    <row r="51" customFormat="false" ht="15" hidden="false" customHeight="false" outlineLevel="0" collapsed="false">
      <c r="A51" s="23" t="n">
        <v>47</v>
      </c>
      <c r="B51" s="15"/>
      <c r="C51" s="15"/>
      <c r="D51" s="24"/>
      <c r="E51" s="24"/>
      <c r="F51" s="24"/>
      <c r="G51" s="24"/>
      <c r="H51" s="24"/>
      <c r="I51" s="24"/>
      <c r="J51" s="15"/>
      <c r="K51" s="17"/>
      <c r="L51" s="26"/>
      <c r="M51" s="24"/>
      <c r="N51" s="15"/>
      <c r="O51" s="26"/>
      <c r="P51" s="2" t="str">
        <f aca="false">IF(OR(B51="",M51=""),"",M51*1000+14)</f>
        <v/>
      </c>
    </row>
    <row r="52" customFormat="false" ht="15" hidden="false" customHeight="false" outlineLevel="0" collapsed="false">
      <c r="A52" s="23" t="n">
        <v>48</v>
      </c>
      <c r="B52" s="15"/>
      <c r="C52" s="15"/>
      <c r="D52" s="24"/>
      <c r="E52" s="24"/>
      <c r="F52" s="24"/>
      <c r="G52" s="24"/>
      <c r="H52" s="24"/>
      <c r="I52" s="24"/>
      <c r="J52" s="15"/>
      <c r="K52" s="17"/>
      <c r="L52" s="26"/>
      <c r="M52" s="24"/>
      <c r="N52" s="15"/>
      <c r="O52" s="26"/>
      <c r="P52" s="2" t="str">
        <f aca="false">IF(OR(B52="",M52=""),"",M52*1000+13)</f>
        <v/>
      </c>
    </row>
    <row r="53" customFormat="false" ht="15" hidden="false" customHeight="false" outlineLevel="0" collapsed="false">
      <c r="A53" s="23" t="n">
        <v>49</v>
      </c>
      <c r="B53" s="15"/>
      <c r="C53" s="15"/>
      <c r="D53" s="24"/>
      <c r="E53" s="24"/>
      <c r="F53" s="24"/>
      <c r="G53" s="24"/>
      <c r="H53" s="24"/>
      <c r="I53" s="24"/>
      <c r="J53" s="15"/>
      <c r="K53" s="17"/>
      <c r="L53" s="26"/>
      <c r="M53" s="24"/>
      <c r="N53" s="15"/>
      <c r="O53" s="26"/>
      <c r="P53" s="2" t="str">
        <f aca="false">IF(OR(B53="",M53=""),"",M53*1000+12)</f>
        <v/>
      </c>
    </row>
    <row r="54" customFormat="false" ht="15" hidden="false" customHeight="false" outlineLevel="0" collapsed="false">
      <c r="A54" s="23" t="n">
        <v>50</v>
      </c>
      <c r="B54" s="15"/>
      <c r="C54" s="15"/>
      <c r="D54" s="24"/>
      <c r="E54" s="24"/>
      <c r="F54" s="24"/>
      <c r="G54" s="24"/>
      <c r="H54" s="24"/>
      <c r="I54" s="24"/>
      <c r="J54" s="15"/>
      <c r="K54" s="17"/>
      <c r="L54" s="26"/>
      <c r="M54" s="24"/>
      <c r="N54" s="15"/>
      <c r="O54" s="26"/>
      <c r="P54" s="2" t="str">
        <f aca="false">IF(OR(B54="",M54=""),"",M54*1000+11)</f>
        <v/>
      </c>
    </row>
    <row r="55" customFormat="false" ht="15" hidden="false" customHeight="false" outlineLevel="0" collapsed="false">
      <c r="A55" s="23" t="n">
        <v>51</v>
      </c>
      <c r="B55" s="15"/>
      <c r="C55" s="15"/>
      <c r="D55" s="24"/>
      <c r="E55" s="24"/>
      <c r="F55" s="24"/>
      <c r="G55" s="24"/>
      <c r="H55" s="24"/>
      <c r="I55" s="24"/>
      <c r="J55" s="15"/>
      <c r="K55" s="17"/>
      <c r="L55" s="26"/>
      <c r="M55" s="24"/>
      <c r="N55" s="15"/>
      <c r="O55" s="26"/>
      <c r="P55" s="2" t="str">
        <f aca="false">IF(OR(B55="",M55=""),"",M55*1000+10)</f>
        <v/>
      </c>
    </row>
    <row r="56" customFormat="false" ht="15" hidden="false" customHeight="false" outlineLevel="0" collapsed="false">
      <c r="A56" s="23" t="n">
        <v>52</v>
      </c>
      <c r="B56" s="15"/>
      <c r="C56" s="15"/>
      <c r="D56" s="24"/>
      <c r="E56" s="24"/>
      <c r="F56" s="24"/>
      <c r="G56" s="24"/>
      <c r="H56" s="24"/>
      <c r="I56" s="24"/>
      <c r="J56" s="15"/>
      <c r="K56" s="17"/>
      <c r="L56" s="26"/>
      <c r="M56" s="24"/>
      <c r="N56" s="15"/>
      <c r="O56" s="26"/>
      <c r="P56" s="2" t="str">
        <f aca="false">IF(OR(B56="",M56=""),"",M56*1000+9)</f>
        <v/>
      </c>
    </row>
    <row r="57" customFormat="false" ht="15" hidden="false" customHeight="false" outlineLevel="0" collapsed="false">
      <c r="A57" s="23" t="n">
        <v>53</v>
      </c>
      <c r="B57" s="15"/>
      <c r="C57" s="15"/>
      <c r="D57" s="24"/>
      <c r="E57" s="24"/>
      <c r="F57" s="24"/>
      <c r="G57" s="24"/>
      <c r="H57" s="24"/>
      <c r="I57" s="24"/>
      <c r="J57" s="15"/>
      <c r="K57" s="17"/>
      <c r="L57" s="26"/>
      <c r="M57" s="24"/>
      <c r="N57" s="15"/>
      <c r="O57" s="26"/>
      <c r="P57" s="2" t="str">
        <f aca="false">IF(OR(B57="",M57=""),"",M57*1000+8)</f>
        <v/>
      </c>
    </row>
    <row r="58" customFormat="false" ht="15" hidden="false" customHeight="false" outlineLevel="0" collapsed="false">
      <c r="A58" s="23" t="n">
        <v>54</v>
      </c>
      <c r="B58" s="15"/>
      <c r="C58" s="15"/>
      <c r="D58" s="24"/>
      <c r="E58" s="24"/>
      <c r="F58" s="24"/>
      <c r="G58" s="24"/>
      <c r="H58" s="24"/>
      <c r="I58" s="24"/>
      <c r="J58" s="15"/>
      <c r="K58" s="17"/>
      <c r="L58" s="26"/>
      <c r="M58" s="24"/>
      <c r="N58" s="15"/>
      <c r="O58" s="26"/>
      <c r="P58" s="2" t="str">
        <f aca="false">IF(OR(B58="",M58=""),"",M58*1000+7)</f>
        <v/>
      </c>
    </row>
    <row r="59" customFormat="false" ht="15" hidden="false" customHeight="false" outlineLevel="0" collapsed="false">
      <c r="A59" s="23" t="n">
        <v>55</v>
      </c>
      <c r="B59" s="15"/>
      <c r="C59" s="15"/>
      <c r="D59" s="24"/>
      <c r="E59" s="24"/>
      <c r="F59" s="24"/>
      <c r="G59" s="24"/>
      <c r="H59" s="24"/>
      <c r="I59" s="24"/>
      <c r="J59" s="15"/>
      <c r="K59" s="17"/>
      <c r="L59" s="26"/>
      <c r="M59" s="24"/>
      <c r="N59" s="15"/>
      <c r="O59" s="26"/>
      <c r="P59" s="2" t="str">
        <f aca="false">IF(OR(B59="",M59=""),"",M59*1000+6)</f>
        <v/>
      </c>
    </row>
    <row r="60" customFormat="false" ht="15" hidden="false" customHeight="false" outlineLevel="0" collapsed="false">
      <c r="A60" s="23" t="n">
        <v>56</v>
      </c>
      <c r="B60" s="15"/>
      <c r="C60" s="15"/>
      <c r="D60" s="24"/>
      <c r="E60" s="24"/>
      <c r="F60" s="24"/>
      <c r="G60" s="24"/>
      <c r="H60" s="24"/>
      <c r="I60" s="24"/>
      <c r="J60" s="15"/>
      <c r="K60" s="17"/>
      <c r="L60" s="26"/>
      <c r="M60" s="24"/>
      <c r="N60" s="15"/>
      <c r="O60" s="26"/>
      <c r="P60" s="2" t="str">
        <f aca="false">IF(OR(B60="",M60=""),"",M60*1000+5)</f>
        <v/>
      </c>
    </row>
    <row r="61" customFormat="false" ht="15" hidden="false" customHeight="false" outlineLevel="0" collapsed="false">
      <c r="A61" s="23" t="n">
        <v>57</v>
      </c>
      <c r="B61" s="15"/>
      <c r="C61" s="15"/>
      <c r="D61" s="24"/>
      <c r="E61" s="24"/>
      <c r="F61" s="24"/>
      <c r="G61" s="24"/>
      <c r="H61" s="24"/>
      <c r="I61" s="24"/>
      <c r="J61" s="15"/>
      <c r="K61" s="17"/>
      <c r="L61" s="26"/>
      <c r="M61" s="24"/>
      <c r="N61" s="15"/>
      <c r="O61" s="26"/>
      <c r="P61" s="2" t="str">
        <f aca="false">IF(OR(B61="",M61=""),"",M61*1000+4)</f>
        <v/>
      </c>
    </row>
    <row r="62" customFormat="false" ht="15" hidden="false" customHeight="false" outlineLevel="0" collapsed="false">
      <c r="A62" s="23" t="n">
        <v>58</v>
      </c>
      <c r="B62" s="15"/>
      <c r="C62" s="15"/>
      <c r="D62" s="24"/>
      <c r="E62" s="24"/>
      <c r="F62" s="24"/>
      <c r="G62" s="24"/>
      <c r="H62" s="24"/>
      <c r="I62" s="24"/>
      <c r="J62" s="15"/>
      <c r="K62" s="17"/>
      <c r="L62" s="26"/>
      <c r="M62" s="24"/>
      <c r="N62" s="15"/>
      <c r="O62" s="26"/>
      <c r="P62" s="2" t="str">
        <f aca="false">IF(OR(B62="",M62=""),"",M62*1000+3)</f>
        <v/>
      </c>
    </row>
    <row r="63" customFormat="false" ht="15" hidden="false" customHeight="false" outlineLevel="0" collapsed="false">
      <c r="A63" s="23" t="n">
        <v>59</v>
      </c>
      <c r="B63" s="15"/>
      <c r="C63" s="15"/>
      <c r="D63" s="24"/>
      <c r="E63" s="24"/>
      <c r="F63" s="24"/>
      <c r="G63" s="24"/>
      <c r="H63" s="24"/>
      <c r="I63" s="24"/>
      <c r="J63" s="15"/>
      <c r="K63" s="17"/>
      <c r="L63" s="26"/>
      <c r="M63" s="24"/>
      <c r="N63" s="15"/>
      <c r="O63" s="26"/>
      <c r="P63" s="2" t="str">
        <f aca="false">IF(OR(B63="",M63=""),"",M63*1000+2)</f>
        <v/>
      </c>
    </row>
    <row r="64" customFormat="false" ht="15" hidden="false" customHeight="false" outlineLevel="0" collapsed="false">
      <c r="A64" s="23" t="n">
        <v>60</v>
      </c>
      <c r="B64" s="15"/>
      <c r="C64" s="15"/>
      <c r="D64" s="24"/>
      <c r="E64" s="24"/>
      <c r="F64" s="24"/>
      <c r="G64" s="24"/>
      <c r="H64" s="24"/>
      <c r="I64" s="24"/>
      <c r="J64" s="15"/>
      <c r="K64" s="17"/>
      <c r="L64" s="26"/>
      <c r="M64" s="24"/>
      <c r="N64" s="15"/>
      <c r="O64" s="26"/>
      <c r="P64" s="2" t="str">
        <f aca="false">IF(OR(B64="",M64=""),"",M64*1000+1)</f>
        <v/>
      </c>
    </row>
    <row r="66" customFormat="false" ht="15" hidden="false" customHeight="false" outlineLevel="0" collapsed="false">
      <c r="B66" s="6" t="s">
        <v>132</v>
      </c>
      <c r="E66" s="20" t="n">
        <f aca="false">COUNTA(B5:B64)</f>
        <v>6</v>
      </c>
    </row>
    <row r="67" customFormat="false" ht="15" hidden="false" customHeight="false" outlineLevel="0" collapsed="false">
      <c r="B67" s="6" t="s">
        <v>113</v>
      </c>
      <c r="E67" s="20" t="n">
        <f aca="false">COUNTIF(J5:J64,"진행 중")</f>
        <v>2</v>
      </c>
    </row>
    <row r="68" customFormat="false" ht="15" hidden="false" customHeight="false" outlineLevel="0" collapsed="false">
      <c r="B68" s="6" t="s">
        <v>130</v>
      </c>
      <c r="E68" s="20" t="n">
        <f aca="false">COUNTIF(J5:J64,"투자 확정")</f>
        <v>1</v>
      </c>
    </row>
    <row r="69" customFormat="false" ht="15" hidden="false" customHeight="false" outlineLevel="0" collapsed="false">
      <c r="B69" s="6" t="s">
        <v>118</v>
      </c>
      <c r="E69" s="20" t="n">
        <f aca="false">COUNTIF(J5:J64,"부결")</f>
        <v>3</v>
      </c>
    </row>
    <row r="70" customFormat="false" ht="15" hidden="false" customHeight="false" outlineLevel="0" collapsed="false">
      <c r="B70" s="6" t="s">
        <v>133</v>
      </c>
      <c r="E70" s="27" t="n">
        <f aca="false">SUMIF(J5:J64,"투자 확정",K5:K64)</f>
        <v>300000000</v>
      </c>
    </row>
    <row r="71" customFormat="false" ht="15" hidden="false" customHeight="false" outlineLevel="0" collapsed="false">
      <c r="B71" s="6" t="s">
        <v>134</v>
      </c>
      <c r="E71" s="20" t="n">
        <f aca="true">IF(COUNT(M5:M64)=0,0,COUNTIFS(M5:M64,"&lt;"&amp;TODAY(),L5:L64,"&lt;&gt;"))</f>
        <v>0</v>
      </c>
      <c r="G71" s="5" t="str">
        <f aca="false">IF(E71&gt;0,"기한이 지난 약속이 "&amp;E71&amp;"건 있습니다. 여기가 가장 흔한 탈락 지점입니다.","기한이 지난 약속은 없습니다.")</f>
        <v>기한이 지난 약속은 없습니다.</v>
      </c>
    </row>
    <row r="73" customFormat="false" ht="15" hidden="false" customHeight="false" outlineLevel="0" collapsed="false">
      <c r="B73" s="9" t="s">
        <v>135</v>
      </c>
    </row>
    <row r="74" customFormat="false" ht="15" hidden="false" customHeight="false" outlineLevel="0" collapsed="false">
      <c r="B74" s="2" t="s">
        <v>136</v>
      </c>
    </row>
    <row r="75" customFormat="false" ht="15" hidden="false" customHeight="false" outlineLevel="0" collapsed="false">
      <c r="B75" s="9" t="s">
        <v>137</v>
      </c>
    </row>
    <row r="78" customFormat="false" ht="15" hidden="false" customHeight="false" outlineLevel="0" collapsed="false">
      <c r="B78" s="9" t="s">
        <v>36</v>
      </c>
    </row>
  </sheetData>
  <dataValidations count="2">
    <dataValidation allowBlank="true" errorStyle="stop" operator="between" showDropDown="false" showErrorMessage="false" showInputMessage="false" sqref="J5:J64" type="list">
      <formula1>"진행 중,투자 확정,부결,보류,우리가 접음"</formula1>
      <formula2>0</formula2>
    </dataValidation>
    <dataValidation allowBlank="true" errorStyle="stop" operator="between" showDropDown="false" showErrorMessage="false" showInputMessage="false" sqref="N5:N64" type="list">
      <formula1>"시장 규모,트랙션 부족,팀,제품·기술,비즈니스 모델,밸류 이견,포트폴리오 중복,펀드 사정,단계 안 맞음,기타"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56"/>
  </cols>
  <sheetData>
    <row r="1" customFormat="false" ht="19.7" hidden="false" customHeight="false" outlineLevel="0" collapsed="false">
      <c r="A1" s="1" t="s">
        <v>138</v>
      </c>
    </row>
    <row r="2" customFormat="false" ht="15" hidden="false" customHeight="false" outlineLevel="0" collapsed="false">
      <c r="A2" s="9" t="s">
        <v>139</v>
      </c>
    </row>
    <row r="4" customFormat="false" ht="15" hidden="false" customHeight="false" outlineLevel="0" collapsed="false">
      <c r="A4" s="14"/>
      <c r="B4" s="14" t="s">
        <v>140</v>
      </c>
      <c r="C4" s="14" t="s">
        <v>141</v>
      </c>
      <c r="D4" s="14" t="s">
        <v>142</v>
      </c>
      <c r="E4" s="14" t="s">
        <v>143</v>
      </c>
      <c r="F4" s="14" t="s">
        <v>144</v>
      </c>
    </row>
    <row r="5" customFormat="false" ht="15" hidden="false" customHeight="false" outlineLevel="0" collapsed="false">
      <c r="A5" s="28"/>
      <c r="B5" s="29" t="s">
        <v>99</v>
      </c>
      <c r="C5" s="30" t="n">
        <f aca="false">COUNT(파이프라인!$D$5:$D$64)</f>
        <v>6</v>
      </c>
      <c r="D5" s="28"/>
      <c r="E5" s="31" t="n">
        <f aca="false">IF($C$5=0,"",C5/$C$5)</f>
        <v>1</v>
      </c>
      <c r="F5" s="32" t="s">
        <v>145</v>
      </c>
    </row>
    <row r="6" customFormat="false" ht="15" hidden="false" customHeight="false" outlineLevel="0" collapsed="false">
      <c r="A6" s="28"/>
      <c r="B6" s="33" t="s">
        <v>146</v>
      </c>
      <c r="C6" s="30" t="n">
        <f aca="false">COUNT(파이프라인!$E$5:$E$64)</f>
        <v>5</v>
      </c>
      <c r="D6" s="31" t="n">
        <f aca="false">IF(C5=0,"",C6/C5)</f>
        <v>0.833333333333333</v>
      </c>
      <c r="E6" s="31" t="n">
        <f aca="false">IF($C$5=0,"",C6/$C$5)</f>
        <v>0.833333333333333</v>
      </c>
      <c r="F6" s="32" t="s">
        <v>147</v>
      </c>
    </row>
    <row r="7" customFormat="false" ht="15" hidden="false" customHeight="false" outlineLevel="0" collapsed="false">
      <c r="A7" s="28"/>
      <c r="B7" s="33" t="s">
        <v>148</v>
      </c>
      <c r="C7" s="30" t="n">
        <f aca="false">COUNT(파이프라인!$F$5:$F$64)</f>
        <v>4</v>
      </c>
      <c r="D7" s="31" t="n">
        <f aca="false">IF(C6=0,"",C7/C6)</f>
        <v>0.8</v>
      </c>
      <c r="E7" s="31" t="n">
        <f aca="false">IF($C$5=0,"",C7/$C$5)</f>
        <v>0.666666666666667</v>
      </c>
      <c r="F7" s="32" t="s">
        <v>149</v>
      </c>
    </row>
    <row r="8" customFormat="false" ht="15" hidden="false" customHeight="false" outlineLevel="0" collapsed="false">
      <c r="A8" s="28"/>
      <c r="B8" s="29" t="s">
        <v>102</v>
      </c>
      <c r="C8" s="30" t="n">
        <f aca="false">COUNT(파이프라인!$G$5:$G$64)</f>
        <v>2</v>
      </c>
      <c r="D8" s="31" t="n">
        <f aca="false">IF(C7=0,"",C8/C7)</f>
        <v>0.5</v>
      </c>
      <c r="E8" s="31" t="n">
        <f aca="false">IF($C$5=0,"",C8/$C$5)</f>
        <v>0.333333333333333</v>
      </c>
      <c r="F8" s="32" t="s">
        <v>150</v>
      </c>
    </row>
    <row r="9" customFormat="false" ht="15" hidden="false" customHeight="false" outlineLevel="0" collapsed="false">
      <c r="A9" s="28"/>
      <c r="B9" s="29" t="s">
        <v>103</v>
      </c>
      <c r="C9" s="30" t="n">
        <f aca="false">COUNT(파이프라인!$H$5:$H$64)</f>
        <v>1</v>
      </c>
      <c r="D9" s="31" t="n">
        <f aca="false">IF(C8=0,"",C9/C8)</f>
        <v>0.5</v>
      </c>
      <c r="E9" s="31" t="n">
        <f aca="false">IF($C$5=0,"",C9/$C$5)</f>
        <v>0.166666666666667</v>
      </c>
      <c r="F9" s="32" t="s">
        <v>151</v>
      </c>
    </row>
    <row r="10" customFormat="false" ht="15" hidden="false" customHeight="false" outlineLevel="0" collapsed="false">
      <c r="A10" s="28"/>
      <c r="B10" s="29" t="s">
        <v>130</v>
      </c>
      <c r="C10" s="30" t="n">
        <f aca="false">COUNTIF(파이프라인!$J$5:$J$64,"투자 확정")</f>
        <v>1</v>
      </c>
      <c r="D10" s="31" t="n">
        <f aca="false">IF(C9=0,"",C10/C9)</f>
        <v>1</v>
      </c>
      <c r="E10" s="31" t="n">
        <f aca="false">IF($C$5=0,"",C10/$C$5)</f>
        <v>0.166666666666667</v>
      </c>
      <c r="F10" s="32"/>
    </row>
    <row r="12" customFormat="false" ht="15" hidden="false" customHeight="false" outlineLevel="0" collapsed="false">
      <c r="B12" s="6" t="s">
        <v>152</v>
      </c>
      <c r="D12" s="34" t="str">
        <f aca="false">IF(COUNT(D6:D10)=0,"아직 판단할 데이터가 없습니다",INDEX(B6:B10,MATCH(MIN(D6:D10),D6:D10,0)))</f>
        <v>실사</v>
      </c>
      <c r="E12" s="34"/>
    </row>
    <row r="13" customFormat="false" ht="15" hidden="false" customHeight="false" outlineLevel="0" collapsed="false">
      <c r="B13" s="6" t="s">
        <v>153</v>
      </c>
      <c r="D13" s="35" t="n">
        <f aca="false">IF(COUNT(D6:D10)=0,"",MIN(D6:D10))</f>
        <v>0.5</v>
      </c>
    </row>
    <row r="14" customFormat="false" ht="15" hidden="false" customHeight="false" outlineLevel="0" collapsed="false">
      <c r="B14" s="6" t="s">
        <v>154</v>
      </c>
      <c r="D14" s="36" t="n">
        <f aca="false">IF(C5=0,"",C10/C5)</f>
        <v>0.166666666666667</v>
      </c>
    </row>
    <row r="16" customFormat="false" ht="15" hidden="false" customHeight="false" outlineLevel="0" collapsed="false">
      <c r="B16" s="7" t="s">
        <v>155</v>
      </c>
    </row>
    <row r="17" customFormat="false" ht="15" hidden="false" customHeight="false" outlineLevel="0" collapsed="false">
      <c r="B17" s="5" t="s">
        <v>156</v>
      </c>
      <c r="D17" s="37" t="n">
        <v>2</v>
      </c>
      <c r="F17" s="9" t="s">
        <v>157</v>
      </c>
    </row>
    <row r="18" customFormat="false" ht="15" hidden="false" customHeight="false" outlineLevel="0" collapsed="false">
      <c r="B18" s="5" t="s">
        <v>158</v>
      </c>
      <c r="D18" s="36" t="n">
        <f aca="false">IF(C5=0,0,C10/C5)</f>
        <v>0.166666666666667</v>
      </c>
      <c r="F18" s="9" t="s">
        <v>159</v>
      </c>
    </row>
    <row r="19" customFormat="false" ht="15" hidden="false" customHeight="false" outlineLevel="0" collapsed="false">
      <c r="B19" s="5" t="s">
        <v>160</v>
      </c>
      <c r="D19" s="38" t="n">
        <v>0.02</v>
      </c>
      <c r="F19" s="9" t="s">
        <v>161</v>
      </c>
    </row>
    <row r="20" customFormat="false" ht="15" hidden="false" customHeight="false" outlineLevel="0" collapsed="false">
      <c r="B20" s="5" t="s">
        <v>162</v>
      </c>
      <c r="D20" s="39" t="n">
        <f aca="false">IF(OR(D18=0,D18=""),"확정 건이 아직 없습니다",ROUNDUP(D17/D18,0))</f>
        <v>12</v>
      </c>
      <c r="F20" s="9" t="s">
        <v>163</v>
      </c>
    </row>
    <row r="21" customFormat="false" ht="15" hidden="false" customHeight="false" outlineLevel="0" collapsed="false">
      <c r="B21" s="5" t="s">
        <v>164</v>
      </c>
      <c r="D21" s="39" t="n">
        <f aca="false">IF(D19=0,"",ROUNDUP(D17/D19,0))</f>
        <v>100</v>
      </c>
      <c r="F21" s="9" t="s">
        <v>165</v>
      </c>
    </row>
    <row r="23" customFormat="false" ht="33.75" hidden="false" customHeight="true" outlineLevel="0" collapsed="false">
      <c r="C23" s="40" t="s">
        <v>166</v>
      </c>
      <c r="D23" s="40"/>
      <c r="E23" s="40"/>
      <c r="F23" s="40"/>
    </row>
    <row r="26" customFormat="false" ht="15" hidden="false" customHeight="false" outlineLevel="0" collapsed="false">
      <c r="B26" s="9" t="s">
        <v>36</v>
      </c>
    </row>
  </sheetData>
  <mergeCells count="2">
    <mergeCell ref="D12:E12"/>
    <mergeCell ref="C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4" min="3" style="0" width="12"/>
    <col collapsed="false" customWidth="true" hidden="false" outlineLevel="0" max="5" min="5" style="0" width="60"/>
  </cols>
  <sheetData>
    <row r="1" customFormat="false" ht="19.7" hidden="false" customHeight="false" outlineLevel="0" collapsed="false">
      <c r="A1" s="1" t="s">
        <v>167</v>
      </c>
    </row>
    <row r="2" customFormat="false" ht="15" hidden="false" customHeight="false" outlineLevel="0" collapsed="false">
      <c r="A2" s="9" t="s">
        <v>168</v>
      </c>
    </row>
    <row r="4" customFormat="false" ht="15" hidden="false" customHeight="false" outlineLevel="0" collapsed="false">
      <c r="A4" s="14"/>
      <c r="B4" s="14" t="s">
        <v>169</v>
      </c>
      <c r="C4" s="14" t="s">
        <v>170</v>
      </c>
      <c r="D4" s="14" t="s">
        <v>171</v>
      </c>
      <c r="E4" s="14" t="s">
        <v>172</v>
      </c>
    </row>
    <row r="5" customFormat="false" ht="15" hidden="false" customHeight="false" outlineLevel="0" collapsed="false">
      <c r="A5" s="28"/>
      <c r="B5" s="41" t="s">
        <v>126</v>
      </c>
      <c r="C5" s="30" t="n">
        <f aca="false">COUNTIF(파이프라인!$N$5:$N$64,B5)</f>
        <v>1</v>
      </c>
      <c r="D5" s="31" t="n">
        <f aca="false">IF($C$16=0,"",C5/$C$16)</f>
        <v>0.333333333333333</v>
      </c>
      <c r="E5" s="42" t="s">
        <v>173</v>
      </c>
    </row>
    <row r="6" customFormat="false" ht="29.85" hidden="false" customHeight="false" outlineLevel="0" collapsed="false">
      <c r="A6" s="28"/>
      <c r="B6" s="41" t="s">
        <v>119</v>
      </c>
      <c r="C6" s="30" t="n">
        <f aca="false">COUNTIF(파이프라인!$N$5:$N$64,B6)</f>
        <v>2</v>
      </c>
      <c r="D6" s="31" t="n">
        <f aca="false">IF($C$16=0,"",C6/$C$16)</f>
        <v>0.666666666666667</v>
      </c>
      <c r="E6" s="43" t="s">
        <v>174</v>
      </c>
    </row>
    <row r="7" customFormat="false" ht="15" hidden="false" customHeight="false" outlineLevel="0" collapsed="false">
      <c r="A7" s="28"/>
      <c r="B7" s="41" t="s">
        <v>175</v>
      </c>
      <c r="C7" s="30" t="n">
        <f aca="false">COUNTIF(파이프라인!$N$5:$N$64,B7)</f>
        <v>0</v>
      </c>
      <c r="D7" s="31" t="n">
        <f aca="false">IF($C$16=0,"",C7/$C$16)</f>
        <v>0</v>
      </c>
      <c r="E7" s="43" t="s">
        <v>176</v>
      </c>
    </row>
    <row r="8" customFormat="false" ht="15" hidden="false" customHeight="false" outlineLevel="0" collapsed="false">
      <c r="A8" s="28"/>
      <c r="B8" s="41" t="s">
        <v>177</v>
      </c>
      <c r="C8" s="30" t="n">
        <f aca="false">COUNTIF(파이프라인!$N$5:$N$64,B8)</f>
        <v>0</v>
      </c>
      <c r="D8" s="31" t="n">
        <f aca="false">IF($C$16=0,"",C8/$C$16)</f>
        <v>0</v>
      </c>
      <c r="E8" s="43" t="s">
        <v>178</v>
      </c>
    </row>
    <row r="9" customFormat="false" ht="15" hidden="false" customHeight="false" outlineLevel="0" collapsed="false">
      <c r="A9" s="28"/>
      <c r="B9" s="41" t="s">
        <v>179</v>
      </c>
      <c r="C9" s="30" t="n">
        <f aca="false">COUNTIF(파이프라인!$N$5:$N$64,B9)</f>
        <v>0</v>
      </c>
      <c r="D9" s="31" t="n">
        <f aca="false">IF($C$16=0,"",C9/$C$16)</f>
        <v>0</v>
      </c>
      <c r="E9" s="43" t="s">
        <v>180</v>
      </c>
    </row>
    <row r="10" customFormat="false" ht="15" hidden="false" customHeight="false" outlineLevel="0" collapsed="false">
      <c r="A10" s="28"/>
      <c r="B10" s="41" t="s">
        <v>181</v>
      </c>
      <c r="C10" s="30" t="n">
        <f aca="false">COUNTIF(파이프라인!$N$5:$N$64,B10)</f>
        <v>0</v>
      </c>
      <c r="D10" s="31" t="n">
        <f aca="false">IF($C$16=0,"",C10/$C$16)</f>
        <v>0</v>
      </c>
      <c r="E10" s="43" t="s">
        <v>182</v>
      </c>
    </row>
    <row r="11" customFormat="false" ht="15" hidden="false" customHeight="false" outlineLevel="0" collapsed="false">
      <c r="A11" s="28"/>
      <c r="B11" s="41" t="s">
        <v>183</v>
      </c>
      <c r="C11" s="30" t="n">
        <f aca="false">COUNTIF(파이프라인!$N$5:$N$64,B11)</f>
        <v>0</v>
      </c>
      <c r="D11" s="31" t="n">
        <f aca="false">IF($C$16=0,"",C11/$C$16)</f>
        <v>0</v>
      </c>
      <c r="E11" s="43" t="s">
        <v>184</v>
      </c>
    </row>
    <row r="12" customFormat="false" ht="15" hidden="false" customHeight="false" outlineLevel="0" collapsed="false">
      <c r="A12" s="28"/>
      <c r="B12" s="41" t="s">
        <v>185</v>
      </c>
      <c r="C12" s="30" t="n">
        <f aca="false">COUNTIF(파이프라인!$N$5:$N$64,B12)</f>
        <v>0</v>
      </c>
      <c r="D12" s="31" t="n">
        <f aca="false">IF($C$16=0,"",C12/$C$16)</f>
        <v>0</v>
      </c>
      <c r="E12" s="43" t="s">
        <v>186</v>
      </c>
    </row>
    <row r="13" customFormat="false" ht="15" hidden="false" customHeight="false" outlineLevel="0" collapsed="false">
      <c r="A13" s="28"/>
      <c r="B13" s="41" t="s">
        <v>187</v>
      </c>
      <c r="C13" s="30" t="n">
        <f aca="false">COUNTIF(파이프라인!$N$5:$N$64,B13)</f>
        <v>0</v>
      </c>
      <c r="D13" s="31" t="n">
        <f aca="false">IF($C$16=0,"",C13/$C$16)</f>
        <v>0</v>
      </c>
      <c r="E13" s="43" t="s">
        <v>188</v>
      </c>
    </row>
    <row r="14" customFormat="false" ht="15" hidden="false" customHeight="false" outlineLevel="0" collapsed="false">
      <c r="A14" s="28"/>
      <c r="B14" s="41" t="s">
        <v>189</v>
      </c>
      <c r="C14" s="30" t="n">
        <f aca="false">COUNTIF(파이프라인!$N$5:$N$64,B14)</f>
        <v>0</v>
      </c>
      <c r="D14" s="31" t="n">
        <f aca="false">IF($C$16=0,"",C14/$C$16)</f>
        <v>0</v>
      </c>
      <c r="E14" s="43" t="s">
        <v>190</v>
      </c>
    </row>
    <row r="16" customFormat="false" ht="15" hidden="false" customHeight="false" outlineLevel="0" collapsed="false">
      <c r="B16" s="6" t="s">
        <v>191</v>
      </c>
      <c r="C16" s="20" t="n">
        <f aca="false">SUM(C5:C14)</f>
        <v>3</v>
      </c>
    </row>
    <row r="17" customFormat="false" ht="15" hidden="false" customHeight="false" outlineLevel="0" collapsed="false">
      <c r="B17" s="6" t="s">
        <v>192</v>
      </c>
      <c r="C17" s="34" t="str">
        <f aca="false">IF(C16=0,"부결 기록이 아직 없습니다",INDEX(B5:B14,MATCH(MAX(C5:C14),C5:C14,0)))</f>
        <v>트랙션 부족</v>
      </c>
      <c r="D17" s="34"/>
    </row>
    <row r="18" customFormat="false" ht="15" hidden="false" customHeight="false" outlineLevel="0" collapsed="false">
      <c r="B18" s="6" t="s">
        <v>193</v>
      </c>
      <c r="E18" s="4" t="str">
        <f aca="false">IF(C16=0,"부결 기록이 쌓이면 여기서 패턴이 보입니다.",IF(MAX(C5:C14)&gt;=3,"같은 사유가 3건 이상입니다. 다음 미팅 전에 그것부터 고치십시오.","아직 패턴이라고 하기엔 이릅니다. 계속 기록하십시오."))</f>
        <v>아직 패턴이라고 하기엔 이릅니다. 계속 기록하십시오.</v>
      </c>
    </row>
    <row r="21" customFormat="false" ht="15" hidden="false" customHeight="false" outlineLevel="0" collapsed="false">
      <c r="B21" s="9" t="s">
        <v>36</v>
      </c>
    </row>
  </sheetData>
  <mergeCells count="1">
    <mergeCell ref="C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40"/>
    <col collapsed="false" customWidth="true" hidden="false" outlineLevel="0" max="5" min="5" style="0" width="12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107</v>
      </c>
    </row>
    <row r="2" customFormat="false" ht="15" hidden="false" customHeight="false" outlineLevel="0" collapsed="false">
      <c r="A2" s="9" t="s">
        <v>194</v>
      </c>
    </row>
    <row r="4" customFormat="false" ht="15" hidden="false" customHeight="false" outlineLevel="0" collapsed="false">
      <c r="A4" s="14"/>
      <c r="B4" s="14" t="s">
        <v>108</v>
      </c>
      <c r="C4" s="14" t="s">
        <v>59</v>
      </c>
      <c r="D4" s="14" t="s">
        <v>195</v>
      </c>
      <c r="E4" s="14" t="s">
        <v>196</v>
      </c>
      <c r="F4" s="14" t="s">
        <v>197</v>
      </c>
    </row>
    <row r="5" customFormat="false" ht="15" hidden="false" customHeight="false" outlineLevel="0" collapsed="false">
      <c r="A5" s="44" t="n">
        <v>1</v>
      </c>
      <c r="B5" s="45" t="n">
        <f aca="false">IFERROR(INDEX(파이프라인!$M$5:$M$64,MATCH(SMALL(파이프라인!$P$5:$P$64,1),파이프라인!$P$5:$P$64,0)),"")</f>
        <v>46273</v>
      </c>
      <c r="C5" s="33" t="str">
        <f aca="false">IFERROR(INDEX(파이프라인!$B$5:$B$64,MATCH(SMALL(파이프라인!$P$5:$P$64,1),파이프라인!$P$5:$P$64,0)),"")</f>
        <v>나다파트너스</v>
      </c>
      <c r="D5" s="42" t="str">
        <f aca="false">IFERROR(INDEX(파이프라인!$L$5:$L$64,MATCH(SMALL(파이프라인!$P$5:$P$64,1),파이프라인!$P$5:$P$64,0)),"")</f>
        <v>IR 자료 발송</v>
      </c>
      <c r="E5" s="30" t="n">
        <f aca="true">IF(B5="","",B5-TODAY())</f>
        <v>5</v>
      </c>
      <c r="F5" s="33" t="str">
        <f aca="false">IF(B5="","",IF(E5&lt;0,"기한 지남 ("&amp;ABS(E5)&amp;"일)",IF(E5&lt;=3,"임박","여유")))</f>
        <v>여유</v>
      </c>
    </row>
    <row r="6" customFormat="false" ht="15" hidden="false" customHeight="false" outlineLevel="0" collapsed="false">
      <c r="A6" s="44" t="n">
        <v>2</v>
      </c>
      <c r="B6" s="45" t="n">
        <f aca="false">IFERROR(INDEX(파이프라인!$M$5:$M$64,MATCH(SMALL(파이프라인!$P$5:$P$64,2),파이프라인!$P$5:$P$64,0)),"")</f>
        <v>46277</v>
      </c>
      <c r="C6" s="33" t="str">
        <f aca="false">IFERROR(INDEX(파이프라인!$B$5:$B$64,MATCH(SMALL(파이프라인!$P$5:$P$64,2),파이프라인!$P$5:$P$64,0)),"")</f>
        <v>가나벤처스</v>
      </c>
      <c r="D6" s="42" t="str">
        <f aca="false">IFERROR(INDEX(파이프라인!$L$5:$L$64,MATCH(SMALL(파이프라인!$P$5:$P$64,2),파이프라인!$P$5:$P$64,0)),"")</f>
        <v>2차 미팅 자료 보완</v>
      </c>
      <c r="E6" s="30" t="n">
        <f aca="true">IF(B6="","",B6-TODAY())</f>
        <v>9</v>
      </c>
      <c r="F6" s="33" t="str">
        <f aca="false">IF(B6="","",IF(E6&lt;0,"기한 지남 ("&amp;ABS(E6)&amp;"일)",IF(E6&lt;=3,"임박","여유")))</f>
        <v>여유</v>
      </c>
    </row>
    <row r="7" customFormat="false" ht="15" hidden="false" customHeight="false" outlineLevel="0" collapsed="false">
      <c r="A7" s="44" t="n">
        <v>3</v>
      </c>
      <c r="B7" s="45" t="n">
        <f aca="false">IFERROR(INDEX(파이프라인!$M$5:$M$64,MATCH(SMALL(파이프라인!$P$5:$P$64,3),파이프라인!$P$5:$P$64,0)),"")</f>
        <v>46285</v>
      </c>
      <c r="C7" s="33" t="str">
        <f aca="false">IFERROR(INDEX(파이프라인!$B$5:$B$64,MATCH(SMALL(파이프라인!$P$5:$P$64,3),파이프라인!$P$5:$P$64,0)),"")</f>
        <v>자차인베스트</v>
      </c>
      <c r="D7" s="42" t="str">
        <f aca="false">IFERROR(INDEX(파이프라인!$L$5:$L$64,MATCH(SMALL(파이프라인!$P$5:$P$64,3),파이프라인!$P$5:$P$64,0)),"")</f>
        <v>주주간계약 검토</v>
      </c>
      <c r="E7" s="30" t="n">
        <f aca="true">IF(B7="","",B7-TODAY())</f>
        <v>17</v>
      </c>
      <c r="F7" s="33" t="str">
        <f aca="false">IF(B7="","",IF(E7&lt;0,"기한 지남 ("&amp;ABS(E7)&amp;"일)",IF(E7&lt;=3,"임박","여유")))</f>
        <v>여유</v>
      </c>
    </row>
    <row r="8" customFormat="false" ht="15" hidden="false" customHeight="false" outlineLevel="0" collapsed="false">
      <c r="A8" s="44" t="n">
        <v>4</v>
      </c>
      <c r="B8" s="45" t="str">
        <f aca="false">IFERROR(INDEX(파이프라인!$M$5:$M$64,MATCH(SMALL(파이프라인!$P$5:$P$64,4),파이프라인!$P$5:$P$64,0)),"")</f>
        <v/>
      </c>
      <c r="C8" s="33" t="str">
        <f aca="false">IFERROR(INDEX(파이프라인!$B$5:$B$64,MATCH(SMALL(파이프라인!$P$5:$P$64,4),파이프라인!$P$5:$P$64,0)),"")</f>
        <v/>
      </c>
      <c r="D8" s="42" t="str">
        <f aca="false">IFERROR(INDEX(파이프라인!$L$5:$L$64,MATCH(SMALL(파이프라인!$P$5:$P$64,4),파이프라인!$P$5:$P$64,0)),"")</f>
        <v/>
      </c>
      <c r="E8" s="30" t="str">
        <f aca="true">IF(B8="","",B8-TODAY())</f>
        <v/>
      </c>
      <c r="F8" s="33" t="str">
        <f aca="false">IF(B8="","",IF(E8&lt;0,"기한 지남 ("&amp;ABS(E8)&amp;"일)",IF(E8&lt;=3,"임박","여유")))</f>
        <v/>
      </c>
    </row>
    <row r="9" customFormat="false" ht="15" hidden="false" customHeight="false" outlineLevel="0" collapsed="false">
      <c r="A9" s="44" t="n">
        <v>5</v>
      </c>
      <c r="B9" s="45" t="str">
        <f aca="false">IFERROR(INDEX(파이프라인!$M$5:$M$64,MATCH(SMALL(파이프라인!$P$5:$P$64,5),파이프라인!$P$5:$P$64,0)),"")</f>
        <v/>
      </c>
      <c r="C9" s="33" t="str">
        <f aca="false">IFERROR(INDEX(파이프라인!$B$5:$B$64,MATCH(SMALL(파이프라인!$P$5:$P$64,5),파이프라인!$P$5:$P$64,0)),"")</f>
        <v/>
      </c>
      <c r="D9" s="42" t="str">
        <f aca="false">IFERROR(INDEX(파이프라인!$L$5:$L$64,MATCH(SMALL(파이프라인!$P$5:$P$64,5),파이프라인!$P$5:$P$64,0)),"")</f>
        <v/>
      </c>
      <c r="E9" s="30" t="str">
        <f aca="true">IF(B9="","",B9-TODAY())</f>
        <v/>
      </c>
      <c r="F9" s="33" t="str">
        <f aca="false">IF(B9="","",IF(E9&lt;0,"기한 지남 ("&amp;ABS(E9)&amp;"일)",IF(E9&lt;=3,"임박","여유")))</f>
        <v/>
      </c>
    </row>
    <row r="10" customFormat="false" ht="15" hidden="false" customHeight="false" outlineLevel="0" collapsed="false">
      <c r="A10" s="44" t="n">
        <v>6</v>
      </c>
      <c r="B10" s="45" t="str">
        <f aca="false">IFERROR(INDEX(파이프라인!$M$5:$M$64,MATCH(SMALL(파이프라인!$P$5:$P$64,6),파이프라인!$P$5:$P$64,0)),"")</f>
        <v/>
      </c>
      <c r="C10" s="33" t="str">
        <f aca="false">IFERROR(INDEX(파이프라인!$B$5:$B$64,MATCH(SMALL(파이프라인!$P$5:$P$64,6),파이프라인!$P$5:$P$64,0)),"")</f>
        <v/>
      </c>
      <c r="D10" s="42" t="str">
        <f aca="false">IFERROR(INDEX(파이프라인!$L$5:$L$64,MATCH(SMALL(파이프라인!$P$5:$P$64,6),파이프라인!$P$5:$P$64,0)),"")</f>
        <v/>
      </c>
      <c r="E10" s="30" t="str">
        <f aca="true">IF(B10="","",B10-TODAY())</f>
        <v/>
      </c>
      <c r="F10" s="33" t="str">
        <f aca="false">IF(B10="","",IF(E10&lt;0,"기한 지남 ("&amp;ABS(E10)&amp;"일)",IF(E10&lt;=3,"임박","여유")))</f>
        <v/>
      </c>
    </row>
    <row r="11" customFormat="false" ht="15" hidden="false" customHeight="false" outlineLevel="0" collapsed="false">
      <c r="A11" s="44" t="n">
        <v>7</v>
      </c>
      <c r="B11" s="45" t="str">
        <f aca="false">IFERROR(INDEX(파이프라인!$M$5:$M$64,MATCH(SMALL(파이프라인!$P$5:$P$64,7),파이프라인!$P$5:$P$64,0)),"")</f>
        <v/>
      </c>
      <c r="C11" s="33" t="str">
        <f aca="false">IFERROR(INDEX(파이프라인!$B$5:$B$64,MATCH(SMALL(파이프라인!$P$5:$P$64,7),파이프라인!$P$5:$P$64,0)),"")</f>
        <v/>
      </c>
      <c r="D11" s="42" t="str">
        <f aca="false">IFERROR(INDEX(파이프라인!$L$5:$L$64,MATCH(SMALL(파이프라인!$P$5:$P$64,7),파이프라인!$P$5:$P$64,0)),"")</f>
        <v/>
      </c>
      <c r="E11" s="30" t="str">
        <f aca="true">IF(B11="","",B11-TODAY())</f>
        <v/>
      </c>
      <c r="F11" s="33" t="str">
        <f aca="false">IF(B11="","",IF(E11&lt;0,"기한 지남 ("&amp;ABS(E11)&amp;"일)",IF(E11&lt;=3,"임박","여유")))</f>
        <v/>
      </c>
    </row>
    <row r="12" customFormat="false" ht="15" hidden="false" customHeight="false" outlineLevel="0" collapsed="false">
      <c r="A12" s="44" t="n">
        <v>8</v>
      </c>
      <c r="B12" s="45" t="str">
        <f aca="false">IFERROR(INDEX(파이프라인!$M$5:$M$64,MATCH(SMALL(파이프라인!$P$5:$P$64,8),파이프라인!$P$5:$P$64,0)),"")</f>
        <v/>
      </c>
      <c r="C12" s="33" t="str">
        <f aca="false">IFERROR(INDEX(파이프라인!$B$5:$B$64,MATCH(SMALL(파이프라인!$P$5:$P$64,8),파이프라인!$P$5:$P$64,0)),"")</f>
        <v/>
      </c>
      <c r="D12" s="42" t="str">
        <f aca="false">IFERROR(INDEX(파이프라인!$L$5:$L$64,MATCH(SMALL(파이프라인!$P$5:$P$64,8),파이프라인!$P$5:$P$64,0)),"")</f>
        <v/>
      </c>
      <c r="E12" s="30" t="str">
        <f aca="true">IF(B12="","",B12-TODAY())</f>
        <v/>
      </c>
      <c r="F12" s="33" t="str">
        <f aca="false">IF(B12="","",IF(E12&lt;0,"기한 지남 ("&amp;ABS(E12)&amp;"일)",IF(E12&lt;=3,"임박","여유")))</f>
        <v/>
      </c>
    </row>
    <row r="13" customFormat="false" ht="15" hidden="false" customHeight="false" outlineLevel="0" collapsed="false">
      <c r="A13" s="44" t="n">
        <v>9</v>
      </c>
      <c r="B13" s="45" t="str">
        <f aca="false">IFERROR(INDEX(파이프라인!$M$5:$M$64,MATCH(SMALL(파이프라인!$P$5:$P$64,9),파이프라인!$P$5:$P$64,0)),"")</f>
        <v/>
      </c>
      <c r="C13" s="33" t="str">
        <f aca="false">IFERROR(INDEX(파이프라인!$B$5:$B$64,MATCH(SMALL(파이프라인!$P$5:$P$64,9),파이프라인!$P$5:$P$64,0)),"")</f>
        <v/>
      </c>
      <c r="D13" s="42" t="str">
        <f aca="false">IFERROR(INDEX(파이프라인!$L$5:$L$64,MATCH(SMALL(파이프라인!$P$5:$P$64,9),파이프라인!$P$5:$P$64,0)),"")</f>
        <v/>
      </c>
      <c r="E13" s="30" t="str">
        <f aca="true">IF(B13="","",B13-TODAY())</f>
        <v/>
      </c>
      <c r="F13" s="33" t="str">
        <f aca="false">IF(B13="","",IF(E13&lt;0,"기한 지남 ("&amp;ABS(E13)&amp;"일)",IF(E13&lt;=3,"임박","여유")))</f>
        <v/>
      </c>
    </row>
    <row r="14" customFormat="false" ht="15" hidden="false" customHeight="false" outlineLevel="0" collapsed="false">
      <c r="A14" s="44" t="n">
        <v>10</v>
      </c>
      <c r="B14" s="45" t="str">
        <f aca="false">IFERROR(INDEX(파이프라인!$M$5:$M$64,MATCH(SMALL(파이프라인!$P$5:$P$64,10),파이프라인!$P$5:$P$64,0)),"")</f>
        <v/>
      </c>
      <c r="C14" s="33" t="str">
        <f aca="false">IFERROR(INDEX(파이프라인!$B$5:$B$64,MATCH(SMALL(파이프라인!$P$5:$P$64,10),파이프라인!$P$5:$P$64,0)),"")</f>
        <v/>
      </c>
      <c r="D14" s="42" t="str">
        <f aca="false">IFERROR(INDEX(파이프라인!$L$5:$L$64,MATCH(SMALL(파이프라인!$P$5:$P$64,10),파이프라인!$P$5:$P$64,0)),"")</f>
        <v/>
      </c>
      <c r="E14" s="30" t="str">
        <f aca="true">IF(B14="","",B14-TODAY())</f>
        <v/>
      </c>
      <c r="F14" s="33" t="str">
        <f aca="false">IF(B14="","",IF(E14&lt;0,"기한 지남 ("&amp;ABS(E14)&amp;"일)",IF(E14&lt;=3,"임박","여유")))</f>
        <v/>
      </c>
    </row>
    <row r="15" customFormat="false" ht="15" hidden="false" customHeight="false" outlineLevel="0" collapsed="false">
      <c r="A15" s="44" t="n">
        <v>11</v>
      </c>
      <c r="B15" s="45" t="str">
        <f aca="false">IFERROR(INDEX(파이프라인!$M$5:$M$64,MATCH(SMALL(파이프라인!$P$5:$P$64,11),파이프라인!$P$5:$P$64,0)),"")</f>
        <v/>
      </c>
      <c r="C15" s="33" t="str">
        <f aca="false">IFERROR(INDEX(파이프라인!$B$5:$B$64,MATCH(SMALL(파이프라인!$P$5:$P$64,11),파이프라인!$P$5:$P$64,0)),"")</f>
        <v/>
      </c>
      <c r="D15" s="42" t="str">
        <f aca="false">IFERROR(INDEX(파이프라인!$L$5:$L$64,MATCH(SMALL(파이프라인!$P$5:$P$64,11),파이프라인!$P$5:$P$64,0)),"")</f>
        <v/>
      </c>
      <c r="E15" s="30" t="str">
        <f aca="true">IF(B15="","",B15-TODAY())</f>
        <v/>
      </c>
      <c r="F15" s="33" t="str">
        <f aca="false">IF(B15="","",IF(E15&lt;0,"기한 지남 ("&amp;ABS(E15)&amp;"일)",IF(E15&lt;=3,"임박","여유")))</f>
        <v/>
      </c>
    </row>
    <row r="16" customFormat="false" ht="15" hidden="false" customHeight="false" outlineLevel="0" collapsed="false">
      <c r="A16" s="44" t="n">
        <v>12</v>
      </c>
      <c r="B16" s="45" t="str">
        <f aca="false">IFERROR(INDEX(파이프라인!$M$5:$M$64,MATCH(SMALL(파이프라인!$P$5:$P$64,12),파이프라인!$P$5:$P$64,0)),"")</f>
        <v/>
      </c>
      <c r="C16" s="33" t="str">
        <f aca="false">IFERROR(INDEX(파이프라인!$B$5:$B$64,MATCH(SMALL(파이프라인!$P$5:$P$64,12),파이프라인!$P$5:$P$64,0)),"")</f>
        <v/>
      </c>
      <c r="D16" s="42" t="str">
        <f aca="false">IFERROR(INDEX(파이프라인!$L$5:$L$64,MATCH(SMALL(파이프라인!$P$5:$P$64,12),파이프라인!$P$5:$P$64,0)),"")</f>
        <v/>
      </c>
      <c r="E16" s="30" t="str">
        <f aca="true">IF(B16="","",B16-TODAY())</f>
        <v/>
      </c>
      <c r="F16" s="33" t="str">
        <f aca="false">IF(B16="","",IF(E16&lt;0,"기한 지남 ("&amp;ABS(E16)&amp;"일)",IF(E16&lt;=3,"임박","여유")))</f>
        <v/>
      </c>
    </row>
    <row r="17" customFormat="false" ht="15" hidden="false" customHeight="false" outlineLevel="0" collapsed="false">
      <c r="A17" s="44" t="n">
        <v>13</v>
      </c>
      <c r="B17" s="45" t="str">
        <f aca="false">IFERROR(INDEX(파이프라인!$M$5:$M$64,MATCH(SMALL(파이프라인!$P$5:$P$64,13),파이프라인!$P$5:$P$64,0)),"")</f>
        <v/>
      </c>
      <c r="C17" s="33" t="str">
        <f aca="false">IFERROR(INDEX(파이프라인!$B$5:$B$64,MATCH(SMALL(파이프라인!$P$5:$P$64,13),파이프라인!$P$5:$P$64,0)),"")</f>
        <v/>
      </c>
      <c r="D17" s="42" t="str">
        <f aca="false">IFERROR(INDEX(파이프라인!$L$5:$L$64,MATCH(SMALL(파이프라인!$P$5:$P$64,13),파이프라인!$P$5:$P$64,0)),"")</f>
        <v/>
      </c>
      <c r="E17" s="30" t="str">
        <f aca="true">IF(B17="","",B17-TODAY())</f>
        <v/>
      </c>
      <c r="F17" s="33" t="str">
        <f aca="false">IF(B17="","",IF(E17&lt;0,"기한 지남 ("&amp;ABS(E17)&amp;"일)",IF(E17&lt;=3,"임박","여유")))</f>
        <v/>
      </c>
    </row>
    <row r="18" customFormat="false" ht="15" hidden="false" customHeight="false" outlineLevel="0" collapsed="false">
      <c r="A18" s="44" t="n">
        <v>14</v>
      </c>
      <c r="B18" s="45" t="str">
        <f aca="false">IFERROR(INDEX(파이프라인!$M$5:$M$64,MATCH(SMALL(파이프라인!$P$5:$P$64,14),파이프라인!$P$5:$P$64,0)),"")</f>
        <v/>
      </c>
      <c r="C18" s="33" t="str">
        <f aca="false">IFERROR(INDEX(파이프라인!$B$5:$B$64,MATCH(SMALL(파이프라인!$P$5:$P$64,14),파이프라인!$P$5:$P$64,0)),"")</f>
        <v/>
      </c>
      <c r="D18" s="42" t="str">
        <f aca="false">IFERROR(INDEX(파이프라인!$L$5:$L$64,MATCH(SMALL(파이프라인!$P$5:$P$64,14),파이프라인!$P$5:$P$64,0)),"")</f>
        <v/>
      </c>
      <c r="E18" s="30" t="str">
        <f aca="true">IF(B18="","",B18-TODAY())</f>
        <v/>
      </c>
      <c r="F18" s="33" t="str">
        <f aca="false">IF(B18="","",IF(E18&lt;0,"기한 지남 ("&amp;ABS(E18)&amp;"일)",IF(E18&lt;=3,"임박","여유")))</f>
        <v/>
      </c>
    </row>
    <row r="19" customFormat="false" ht="15" hidden="false" customHeight="false" outlineLevel="0" collapsed="false">
      <c r="A19" s="44" t="n">
        <v>15</v>
      </c>
      <c r="B19" s="45" t="str">
        <f aca="false">IFERROR(INDEX(파이프라인!$M$5:$M$64,MATCH(SMALL(파이프라인!$P$5:$P$64,15),파이프라인!$P$5:$P$64,0)),"")</f>
        <v/>
      </c>
      <c r="C19" s="33" t="str">
        <f aca="false">IFERROR(INDEX(파이프라인!$B$5:$B$64,MATCH(SMALL(파이프라인!$P$5:$P$64,15),파이프라인!$P$5:$P$64,0)),"")</f>
        <v/>
      </c>
      <c r="D19" s="42" t="str">
        <f aca="false">IFERROR(INDEX(파이프라인!$L$5:$L$64,MATCH(SMALL(파이프라인!$P$5:$P$64,15),파이프라인!$P$5:$P$64,0)),"")</f>
        <v/>
      </c>
      <c r="E19" s="30" t="str">
        <f aca="true">IF(B19="","",B19-TODAY())</f>
        <v/>
      </c>
      <c r="F19" s="33" t="str">
        <f aca="false">IF(B19="","",IF(E19&lt;0,"기한 지남 ("&amp;ABS(E19)&amp;"일)",IF(E19&lt;=3,"임박","여유")))</f>
        <v/>
      </c>
    </row>
    <row r="21" customFormat="false" ht="15" hidden="false" customHeight="false" outlineLevel="0" collapsed="false">
      <c r="C21" s="6" t="s">
        <v>198</v>
      </c>
      <c r="E21" s="20" t="n">
        <f aca="false">COUNTIF(F5:F19,"기한 지남*")</f>
        <v>0</v>
      </c>
    </row>
    <row r="22" customFormat="false" ht="15" hidden="false" customHeight="false" outlineLevel="0" collapsed="false">
      <c r="C22" s="6" t="s">
        <v>193</v>
      </c>
      <c r="F22" s="4" t="str">
        <f aca="false">IF(COUNTA(C5:C19)=0,"파이프라인에 「기한」을 넣으면 여기가 채워집니다.",IF(E21&gt;0,"기한이 지난 약속이 있습니다. 투자유치에서 가장 흔한 탈락 사유입니다.","기한 안에 잘 가고 있습니다."))</f>
        <v>기한 안에 잘 가고 있습니다.</v>
      </c>
    </row>
    <row r="24" customFormat="false" ht="33.75" hidden="false" customHeight="true" outlineLevel="0" collapsed="false">
      <c r="C24" s="40" t="s">
        <v>199</v>
      </c>
      <c r="D24" s="40"/>
      <c r="E24" s="40"/>
      <c r="F24" s="40"/>
    </row>
    <row r="27" customFormat="false" ht="15" hidden="false" customHeight="false" outlineLevel="0" collapsed="false">
      <c r="B27" s="9" t="s">
        <v>36</v>
      </c>
    </row>
  </sheetData>
  <mergeCells count="1">
    <mergeCell ref="C24:F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44"/>
    <col collapsed="false" customWidth="true" hidden="false" outlineLevel="0" max="7" min="7" style="0" width="36"/>
    <col collapsed="false" customWidth="true" hidden="false" outlineLevel="0" max="8" min="8" style="0" width="13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200</v>
      </c>
    </row>
    <row r="2" customFormat="false" ht="15" hidden="false" customHeight="false" outlineLevel="0" collapsed="false">
      <c r="A2" s="9" t="s">
        <v>201</v>
      </c>
    </row>
    <row r="4" customFormat="false" ht="15" hidden="false" customHeight="false" outlineLevel="0" collapsed="false">
      <c r="A4" s="14"/>
      <c r="B4" s="14" t="s">
        <v>202</v>
      </c>
      <c r="C4" s="14" t="s">
        <v>59</v>
      </c>
      <c r="D4" s="14" t="s">
        <v>203</v>
      </c>
      <c r="E4" s="14" t="s">
        <v>204</v>
      </c>
      <c r="F4" s="14" t="s">
        <v>205</v>
      </c>
      <c r="G4" s="14" t="s">
        <v>206</v>
      </c>
      <c r="H4" s="14" t="s">
        <v>207</v>
      </c>
      <c r="I4" s="14" t="s">
        <v>208</v>
      </c>
    </row>
    <row r="5" customFormat="false" ht="15" hidden="false" customHeight="false" outlineLevel="0" collapsed="false">
      <c r="B5" s="46" t="n">
        <v>46258</v>
      </c>
      <c r="C5" s="47" t="s">
        <v>70</v>
      </c>
      <c r="D5" s="47" t="s">
        <v>209</v>
      </c>
      <c r="E5" s="47" t="s">
        <v>210</v>
      </c>
      <c r="F5" s="48" t="s">
        <v>211</v>
      </c>
      <c r="G5" s="48" t="s">
        <v>212</v>
      </c>
      <c r="H5" s="46" t="n">
        <v>46265</v>
      </c>
      <c r="I5" s="47" t="s">
        <v>213</v>
      </c>
    </row>
    <row r="6" customFormat="false" ht="15" hidden="false" customHeight="false" outlineLevel="0" collapsed="false">
      <c r="B6" s="24"/>
      <c r="C6" s="15"/>
      <c r="D6" s="15"/>
      <c r="E6" s="16"/>
      <c r="F6" s="26"/>
      <c r="G6" s="26"/>
      <c r="H6" s="24"/>
      <c r="I6" s="16"/>
    </row>
    <row r="7" customFormat="false" ht="15" hidden="false" customHeight="false" outlineLevel="0" collapsed="false">
      <c r="B7" s="24"/>
      <c r="C7" s="15"/>
      <c r="D7" s="15"/>
      <c r="E7" s="16"/>
      <c r="F7" s="26"/>
      <c r="G7" s="26"/>
      <c r="H7" s="24"/>
      <c r="I7" s="16"/>
    </row>
    <row r="8" customFormat="false" ht="15" hidden="false" customHeight="false" outlineLevel="0" collapsed="false">
      <c r="B8" s="24"/>
      <c r="C8" s="15"/>
      <c r="D8" s="15"/>
      <c r="E8" s="16"/>
      <c r="F8" s="26"/>
      <c r="G8" s="26"/>
      <c r="H8" s="24"/>
      <c r="I8" s="16"/>
    </row>
    <row r="9" customFormat="false" ht="15" hidden="false" customHeight="false" outlineLevel="0" collapsed="false">
      <c r="B9" s="24"/>
      <c r="C9" s="15"/>
      <c r="D9" s="15"/>
      <c r="E9" s="16"/>
      <c r="F9" s="26"/>
      <c r="G9" s="26"/>
      <c r="H9" s="24"/>
      <c r="I9" s="16"/>
    </row>
    <row r="10" customFormat="false" ht="15" hidden="false" customHeight="false" outlineLevel="0" collapsed="false">
      <c r="B10" s="24"/>
      <c r="C10" s="15"/>
      <c r="D10" s="15"/>
      <c r="E10" s="16"/>
      <c r="F10" s="26"/>
      <c r="G10" s="26"/>
      <c r="H10" s="24"/>
      <c r="I10" s="16"/>
    </row>
    <row r="11" customFormat="false" ht="15" hidden="false" customHeight="false" outlineLevel="0" collapsed="false">
      <c r="B11" s="24"/>
      <c r="C11" s="15"/>
      <c r="D11" s="15"/>
      <c r="E11" s="16"/>
      <c r="F11" s="26"/>
      <c r="G11" s="26"/>
      <c r="H11" s="24"/>
      <c r="I11" s="16"/>
    </row>
    <row r="12" customFormat="false" ht="15" hidden="false" customHeight="false" outlineLevel="0" collapsed="false">
      <c r="B12" s="24"/>
      <c r="C12" s="15"/>
      <c r="D12" s="15"/>
      <c r="E12" s="16"/>
      <c r="F12" s="26"/>
      <c r="G12" s="26"/>
      <c r="H12" s="24"/>
      <c r="I12" s="16"/>
    </row>
    <row r="13" customFormat="false" ht="15" hidden="false" customHeight="false" outlineLevel="0" collapsed="false">
      <c r="B13" s="24"/>
      <c r="C13" s="15"/>
      <c r="D13" s="15"/>
      <c r="E13" s="16"/>
      <c r="F13" s="26"/>
      <c r="G13" s="26"/>
      <c r="H13" s="24"/>
      <c r="I13" s="16"/>
    </row>
    <row r="14" customFormat="false" ht="15" hidden="false" customHeight="false" outlineLevel="0" collapsed="false">
      <c r="B14" s="24"/>
      <c r="C14" s="15"/>
      <c r="D14" s="15"/>
      <c r="E14" s="16"/>
      <c r="F14" s="26"/>
      <c r="G14" s="26"/>
      <c r="H14" s="24"/>
      <c r="I14" s="16"/>
    </row>
    <row r="15" customFormat="false" ht="15" hidden="false" customHeight="false" outlineLevel="0" collapsed="false">
      <c r="B15" s="24"/>
      <c r="C15" s="15"/>
      <c r="D15" s="15"/>
      <c r="E15" s="16"/>
      <c r="F15" s="26"/>
      <c r="G15" s="26"/>
      <c r="H15" s="24"/>
      <c r="I15" s="16"/>
    </row>
    <row r="16" customFormat="false" ht="15" hidden="false" customHeight="false" outlineLevel="0" collapsed="false">
      <c r="B16" s="24"/>
      <c r="C16" s="15"/>
      <c r="D16" s="15"/>
      <c r="E16" s="16"/>
      <c r="F16" s="26"/>
      <c r="G16" s="26"/>
      <c r="H16" s="24"/>
      <c r="I16" s="16"/>
    </row>
    <row r="17" customFormat="false" ht="15" hidden="false" customHeight="false" outlineLevel="0" collapsed="false">
      <c r="B17" s="24"/>
      <c r="C17" s="15"/>
      <c r="D17" s="15"/>
      <c r="E17" s="16"/>
      <c r="F17" s="26"/>
      <c r="G17" s="26"/>
      <c r="H17" s="24"/>
      <c r="I17" s="16"/>
    </row>
    <row r="18" customFormat="false" ht="15" hidden="false" customHeight="false" outlineLevel="0" collapsed="false">
      <c r="B18" s="24"/>
      <c r="C18" s="15"/>
      <c r="D18" s="15"/>
      <c r="E18" s="16"/>
      <c r="F18" s="26"/>
      <c r="G18" s="26"/>
      <c r="H18" s="24"/>
      <c r="I18" s="16"/>
    </row>
    <row r="19" customFormat="false" ht="15" hidden="false" customHeight="false" outlineLevel="0" collapsed="false">
      <c r="B19" s="24"/>
      <c r="C19" s="15"/>
      <c r="D19" s="15"/>
      <c r="E19" s="16"/>
      <c r="F19" s="26"/>
      <c r="G19" s="26"/>
      <c r="H19" s="24"/>
      <c r="I19" s="16"/>
    </row>
    <row r="20" customFormat="false" ht="15" hidden="false" customHeight="false" outlineLevel="0" collapsed="false">
      <c r="B20" s="24"/>
      <c r="C20" s="15"/>
      <c r="D20" s="15"/>
      <c r="E20" s="16"/>
      <c r="F20" s="26"/>
      <c r="G20" s="26"/>
      <c r="H20" s="24"/>
      <c r="I20" s="16"/>
    </row>
    <row r="21" customFormat="false" ht="15" hidden="false" customHeight="false" outlineLevel="0" collapsed="false">
      <c r="B21" s="24"/>
      <c r="C21" s="15"/>
      <c r="D21" s="15"/>
      <c r="E21" s="16"/>
      <c r="F21" s="26"/>
      <c r="G21" s="26"/>
      <c r="H21" s="24"/>
      <c r="I21" s="16"/>
    </row>
    <row r="22" customFormat="false" ht="15" hidden="false" customHeight="false" outlineLevel="0" collapsed="false">
      <c r="B22" s="24"/>
      <c r="C22" s="15"/>
      <c r="D22" s="15"/>
      <c r="E22" s="16"/>
      <c r="F22" s="26"/>
      <c r="G22" s="26"/>
      <c r="H22" s="24"/>
      <c r="I22" s="16"/>
    </row>
    <row r="23" customFormat="false" ht="15" hidden="false" customHeight="false" outlineLevel="0" collapsed="false">
      <c r="B23" s="24"/>
      <c r="C23" s="15"/>
      <c r="D23" s="15"/>
      <c r="E23" s="16"/>
      <c r="F23" s="26"/>
      <c r="G23" s="26"/>
      <c r="H23" s="24"/>
      <c r="I23" s="16"/>
    </row>
    <row r="24" customFormat="false" ht="15" hidden="false" customHeight="false" outlineLevel="0" collapsed="false">
      <c r="B24" s="24"/>
      <c r="C24" s="15"/>
      <c r="D24" s="15"/>
      <c r="E24" s="16"/>
      <c r="F24" s="26"/>
      <c r="G24" s="26"/>
      <c r="H24" s="24"/>
      <c r="I24" s="16"/>
    </row>
    <row r="25" customFormat="false" ht="15" hidden="false" customHeight="false" outlineLevel="0" collapsed="false">
      <c r="B25" s="24"/>
      <c r="C25" s="15"/>
      <c r="D25" s="15"/>
      <c r="E25" s="16"/>
      <c r="F25" s="26"/>
      <c r="G25" s="26"/>
      <c r="H25" s="24"/>
      <c r="I25" s="16"/>
    </row>
    <row r="26" customFormat="false" ht="15" hidden="false" customHeight="false" outlineLevel="0" collapsed="false">
      <c r="B26" s="24"/>
      <c r="C26" s="15"/>
      <c r="D26" s="15"/>
      <c r="E26" s="16"/>
      <c r="F26" s="26"/>
      <c r="G26" s="26"/>
      <c r="H26" s="24"/>
      <c r="I26" s="16"/>
    </row>
    <row r="27" customFormat="false" ht="15" hidden="false" customHeight="false" outlineLevel="0" collapsed="false">
      <c r="B27" s="24"/>
      <c r="C27" s="15"/>
      <c r="D27" s="15"/>
      <c r="E27" s="16"/>
      <c r="F27" s="26"/>
      <c r="G27" s="26"/>
      <c r="H27" s="24"/>
      <c r="I27" s="16"/>
    </row>
    <row r="28" customFormat="false" ht="15" hidden="false" customHeight="false" outlineLevel="0" collapsed="false">
      <c r="B28" s="24"/>
      <c r="C28" s="15"/>
      <c r="D28" s="15"/>
      <c r="E28" s="16"/>
      <c r="F28" s="26"/>
      <c r="G28" s="26"/>
      <c r="H28" s="24"/>
      <c r="I28" s="16"/>
    </row>
    <row r="29" customFormat="false" ht="15" hidden="false" customHeight="false" outlineLevel="0" collapsed="false">
      <c r="B29" s="24"/>
      <c r="C29" s="15"/>
      <c r="D29" s="15"/>
      <c r="E29" s="16"/>
      <c r="F29" s="26"/>
      <c r="G29" s="26"/>
      <c r="H29" s="24"/>
      <c r="I29" s="16"/>
    </row>
    <row r="30" customFormat="false" ht="15" hidden="false" customHeight="false" outlineLevel="0" collapsed="false">
      <c r="B30" s="24"/>
      <c r="C30" s="15"/>
      <c r="D30" s="15"/>
      <c r="E30" s="16"/>
      <c r="F30" s="26"/>
      <c r="G30" s="26"/>
      <c r="H30" s="24"/>
      <c r="I30" s="16"/>
    </row>
    <row r="31" customFormat="false" ht="15" hidden="false" customHeight="false" outlineLevel="0" collapsed="false">
      <c r="B31" s="24"/>
      <c r="C31" s="15"/>
      <c r="D31" s="15"/>
      <c r="E31" s="16"/>
      <c r="F31" s="26"/>
      <c r="G31" s="26"/>
      <c r="H31" s="24"/>
      <c r="I31" s="16"/>
    </row>
    <row r="32" customFormat="false" ht="15" hidden="false" customHeight="false" outlineLevel="0" collapsed="false">
      <c r="B32" s="24"/>
      <c r="C32" s="15"/>
      <c r="D32" s="15"/>
      <c r="E32" s="16"/>
      <c r="F32" s="26"/>
      <c r="G32" s="26"/>
      <c r="H32" s="24"/>
      <c r="I32" s="16"/>
    </row>
    <row r="33" customFormat="false" ht="15" hidden="false" customHeight="false" outlineLevel="0" collapsed="false">
      <c r="B33" s="24"/>
      <c r="C33" s="15"/>
      <c r="D33" s="15"/>
      <c r="E33" s="16"/>
      <c r="F33" s="26"/>
      <c r="G33" s="26"/>
      <c r="H33" s="24"/>
      <c r="I33" s="16"/>
    </row>
    <row r="34" customFormat="false" ht="15" hidden="false" customHeight="false" outlineLevel="0" collapsed="false">
      <c r="B34" s="24"/>
      <c r="C34" s="15"/>
      <c r="D34" s="15"/>
      <c r="E34" s="16"/>
      <c r="F34" s="26"/>
      <c r="G34" s="26"/>
      <c r="H34" s="24"/>
      <c r="I34" s="16"/>
    </row>
    <row r="36" customFormat="false" ht="15" hidden="false" customHeight="false" outlineLevel="0" collapsed="false">
      <c r="C36" s="6" t="s">
        <v>214</v>
      </c>
      <c r="F36" s="5" t="n">
        <f aca="false">COUNTA(C5:C34)</f>
        <v>1</v>
      </c>
    </row>
    <row r="37" customFormat="false" ht="15" hidden="false" customHeight="false" outlineLevel="0" collapsed="false">
      <c r="C37" s="6" t="s">
        <v>215</v>
      </c>
      <c r="F37" s="5" t="n">
        <f aca="false">COUNTIF(I5:I34,"아직")</f>
        <v>0</v>
      </c>
    </row>
    <row r="38" customFormat="false" ht="15" hidden="false" customHeight="false" outlineLevel="0" collapsed="false">
      <c r="C38" s="6" t="s">
        <v>193</v>
      </c>
      <c r="G38" s="5" t="str">
        <f aca="false">IF(F37&gt;0,"보내기로 하고 안 보낸 것이 "&amp;F37&amp;"건 있습니다. 오늘 안에 처리하십시오.","약속한 자료는 다 보냈습니다.")</f>
        <v>약속한 자료는 다 보냈습니다.</v>
      </c>
    </row>
    <row r="40" customFormat="false" ht="31.5" hidden="false" customHeight="true" outlineLevel="0" collapsed="false">
      <c r="C40" s="40" t="s">
        <v>216</v>
      </c>
      <c r="D40" s="40"/>
      <c r="E40" s="40"/>
      <c r="F40" s="40"/>
      <c r="G40" s="40"/>
      <c r="H40" s="40"/>
      <c r="I40" s="40"/>
    </row>
    <row r="43" customFormat="false" ht="15" hidden="false" customHeight="false" outlineLevel="0" collapsed="false">
      <c r="B43" s="9" t="s">
        <v>36</v>
      </c>
    </row>
  </sheetData>
  <mergeCells count="1">
    <mergeCell ref="C40:I40"/>
  </mergeCells>
  <dataValidations count="2">
    <dataValidation allowBlank="true" errorStyle="stop" operator="between" showDropDown="false" showErrorMessage="false" showInputMessage="false" sqref="E5:E34" type="list">
      <formula1>"대면,화상,전화"</formula1>
      <formula2>0</formula2>
    </dataValidation>
    <dataValidation allowBlank="true" errorStyle="stop" operator="between" showDropDown="false" showErrorMessage="false" showInputMessage="false" sqref="I5:I34" type="list">
      <formula1>"보냄,아직,해당없음"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1" t="s">
        <v>217</v>
      </c>
    </row>
    <row r="2" customFormat="false" ht="15" hidden="false" customHeight="false" outlineLevel="0" collapsed="false">
      <c r="A2" s="9" t="s">
        <v>218</v>
      </c>
    </row>
    <row r="4" customFormat="false" ht="15" hidden="false" customHeight="false" outlineLevel="0" collapsed="false">
      <c r="A4" s="14"/>
      <c r="B4" s="14" t="s">
        <v>202</v>
      </c>
      <c r="C4" s="14" t="s">
        <v>219</v>
      </c>
      <c r="D4" s="14" t="s">
        <v>220</v>
      </c>
      <c r="E4" s="14" t="s">
        <v>221</v>
      </c>
      <c r="F4" s="14" t="s">
        <v>222</v>
      </c>
      <c r="G4" s="14" t="s">
        <v>223</v>
      </c>
      <c r="H4" s="14" t="s">
        <v>69</v>
      </c>
    </row>
    <row r="5" customFormat="false" ht="15" hidden="false" customHeight="false" outlineLevel="0" collapsed="false">
      <c r="B5" s="46" t="n">
        <v>46259</v>
      </c>
      <c r="C5" s="47" t="s">
        <v>70</v>
      </c>
      <c r="D5" s="49" t="s">
        <v>224</v>
      </c>
      <c r="E5" s="49" t="s">
        <v>225</v>
      </c>
      <c r="F5" s="49" t="s">
        <v>226</v>
      </c>
      <c r="G5" s="47" t="s">
        <v>227</v>
      </c>
      <c r="H5" s="48" t="s">
        <v>228</v>
      </c>
    </row>
    <row r="6" customFormat="false" ht="15" hidden="false" customHeight="false" outlineLevel="0" collapsed="false">
      <c r="B6" s="24"/>
      <c r="C6" s="15"/>
      <c r="D6" s="15"/>
      <c r="E6" s="15"/>
      <c r="F6" s="16"/>
      <c r="G6" s="16"/>
      <c r="H6" s="26"/>
    </row>
    <row r="7" customFormat="false" ht="15" hidden="false" customHeight="false" outlineLevel="0" collapsed="false">
      <c r="B7" s="24"/>
      <c r="C7" s="15"/>
      <c r="D7" s="15"/>
      <c r="E7" s="15"/>
      <c r="F7" s="16"/>
      <c r="G7" s="16"/>
      <c r="H7" s="26"/>
    </row>
    <row r="8" customFormat="false" ht="15" hidden="false" customHeight="false" outlineLevel="0" collapsed="false">
      <c r="B8" s="24"/>
      <c r="C8" s="15"/>
      <c r="D8" s="15"/>
      <c r="E8" s="15"/>
      <c r="F8" s="16"/>
      <c r="G8" s="16"/>
      <c r="H8" s="26"/>
    </row>
    <row r="9" customFormat="false" ht="15" hidden="false" customHeight="false" outlineLevel="0" collapsed="false">
      <c r="B9" s="24"/>
      <c r="C9" s="15"/>
      <c r="D9" s="15"/>
      <c r="E9" s="15"/>
      <c r="F9" s="16"/>
      <c r="G9" s="16"/>
      <c r="H9" s="26"/>
    </row>
    <row r="10" customFormat="false" ht="15" hidden="false" customHeight="false" outlineLevel="0" collapsed="false">
      <c r="B10" s="24"/>
      <c r="C10" s="15"/>
      <c r="D10" s="15"/>
      <c r="E10" s="15"/>
      <c r="F10" s="16"/>
      <c r="G10" s="16"/>
      <c r="H10" s="26"/>
    </row>
    <row r="11" customFormat="false" ht="15" hidden="false" customHeight="false" outlineLevel="0" collapsed="false">
      <c r="B11" s="24"/>
      <c r="C11" s="15"/>
      <c r="D11" s="15"/>
      <c r="E11" s="15"/>
      <c r="F11" s="16"/>
      <c r="G11" s="16"/>
      <c r="H11" s="26"/>
    </row>
    <row r="12" customFormat="false" ht="15" hidden="false" customHeight="false" outlineLevel="0" collapsed="false">
      <c r="B12" s="24"/>
      <c r="C12" s="15"/>
      <c r="D12" s="15"/>
      <c r="E12" s="15"/>
      <c r="F12" s="16"/>
      <c r="G12" s="16"/>
      <c r="H12" s="26"/>
    </row>
    <row r="13" customFormat="false" ht="15" hidden="false" customHeight="false" outlineLevel="0" collapsed="false">
      <c r="B13" s="24"/>
      <c r="C13" s="15"/>
      <c r="D13" s="15"/>
      <c r="E13" s="15"/>
      <c r="F13" s="16"/>
      <c r="G13" s="16"/>
      <c r="H13" s="26"/>
    </row>
    <row r="14" customFormat="false" ht="15" hidden="false" customHeight="false" outlineLevel="0" collapsed="false">
      <c r="B14" s="24"/>
      <c r="C14" s="15"/>
      <c r="D14" s="15"/>
      <c r="E14" s="15"/>
      <c r="F14" s="16"/>
      <c r="G14" s="16"/>
      <c r="H14" s="26"/>
    </row>
    <row r="15" customFormat="false" ht="15" hidden="false" customHeight="false" outlineLevel="0" collapsed="false">
      <c r="B15" s="24"/>
      <c r="C15" s="15"/>
      <c r="D15" s="15"/>
      <c r="E15" s="15"/>
      <c r="F15" s="16"/>
      <c r="G15" s="16"/>
      <c r="H15" s="26"/>
    </row>
    <row r="16" customFormat="false" ht="15" hidden="false" customHeight="false" outlineLevel="0" collapsed="false">
      <c r="B16" s="24"/>
      <c r="C16" s="15"/>
      <c r="D16" s="15"/>
      <c r="E16" s="15"/>
      <c r="F16" s="16"/>
      <c r="G16" s="16"/>
      <c r="H16" s="26"/>
    </row>
    <row r="17" customFormat="false" ht="15" hidden="false" customHeight="false" outlineLevel="0" collapsed="false">
      <c r="B17" s="24"/>
      <c r="C17" s="15"/>
      <c r="D17" s="15"/>
      <c r="E17" s="15"/>
      <c r="F17" s="16"/>
      <c r="G17" s="16"/>
      <c r="H17" s="26"/>
    </row>
    <row r="18" customFormat="false" ht="15" hidden="false" customHeight="false" outlineLevel="0" collapsed="false">
      <c r="B18" s="24"/>
      <c r="C18" s="15"/>
      <c r="D18" s="15"/>
      <c r="E18" s="15"/>
      <c r="F18" s="16"/>
      <c r="G18" s="16"/>
      <c r="H18" s="26"/>
    </row>
    <row r="19" customFormat="false" ht="15" hidden="false" customHeight="false" outlineLevel="0" collapsed="false">
      <c r="B19" s="24"/>
      <c r="C19" s="15"/>
      <c r="D19" s="15"/>
      <c r="E19" s="15"/>
      <c r="F19" s="16"/>
      <c r="G19" s="16"/>
      <c r="H19" s="26"/>
    </row>
    <row r="20" customFormat="false" ht="15" hidden="false" customHeight="false" outlineLevel="0" collapsed="false">
      <c r="B20" s="24"/>
      <c r="C20" s="15"/>
      <c r="D20" s="15"/>
      <c r="E20" s="15"/>
      <c r="F20" s="16"/>
      <c r="G20" s="16"/>
      <c r="H20" s="26"/>
    </row>
    <row r="21" customFormat="false" ht="15" hidden="false" customHeight="false" outlineLevel="0" collapsed="false">
      <c r="B21" s="24"/>
      <c r="C21" s="15"/>
      <c r="D21" s="15"/>
      <c r="E21" s="15"/>
      <c r="F21" s="16"/>
      <c r="G21" s="16"/>
      <c r="H21" s="26"/>
    </row>
    <row r="22" customFormat="false" ht="15" hidden="false" customHeight="false" outlineLevel="0" collapsed="false">
      <c r="B22" s="24"/>
      <c r="C22" s="15"/>
      <c r="D22" s="15"/>
      <c r="E22" s="15"/>
      <c r="F22" s="16"/>
      <c r="G22" s="16"/>
      <c r="H22" s="26"/>
    </row>
    <row r="23" customFormat="false" ht="15" hidden="false" customHeight="false" outlineLevel="0" collapsed="false">
      <c r="B23" s="24"/>
      <c r="C23" s="15"/>
      <c r="D23" s="15"/>
      <c r="E23" s="15"/>
      <c r="F23" s="16"/>
      <c r="G23" s="16"/>
      <c r="H23" s="26"/>
    </row>
    <row r="24" customFormat="false" ht="15" hidden="false" customHeight="false" outlineLevel="0" collapsed="false">
      <c r="B24" s="24"/>
      <c r="C24" s="15"/>
      <c r="D24" s="15"/>
      <c r="E24" s="15"/>
      <c r="F24" s="16"/>
      <c r="G24" s="16"/>
      <c r="H24" s="26"/>
    </row>
    <row r="25" customFormat="false" ht="15" hidden="false" customHeight="false" outlineLevel="0" collapsed="false">
      <c r="B25" s="24"/>
      <c r="C25" s="15"/>
      <c r="D25" s="15"/>
      <c r="E25" s="15"/>
      <c r="F25" s="16"/>
      <c r="G25" s="16"/>
      <c r="H25" s="26"/>
    </row>
    <row r="26" customFormat="false" ht="15" hidden="false" customHeight="false" outlineLevel="0" collapsed="false">
      <c r="B26" s="24"/>
      <c r="C26" s="15"/>
      <c r="D26" s="15"/>
      <c r="E26" s="15"/>
      <c r="F26" s="16"/>
      <c r="G26" s="16"/>
      <c r="H26" s="26"/>
    </row>
    <row r="27" customFormat="false" ht="15" hidden="false" customHeight="false" outlineLevel="0" collapsed="false">
      <c r="B27" s="24"/>
      <c r="C27" s="15"/>
      <c r="D27" s="15"/>
      <c r="E27" s="15"/>
      <c r="F27" s="16"/>
      <c r="G27" s="16"/>
      <c r="H27" s="26"/>
    </row>
    <row r="28" customFormat="false" ht="15" hidden="false" customHeight="false" outlineLevel="0" collapsed="false">
      <c r="B28" s="24"/>
      <c r="C28" s="15"/>
      <c r="D28" s="15"/>
      <c r="E28" s="15"/>
      <c r="F28" s="16"/>
      <c r="G28" s="16"/>
      <c r="H28" s="26"/>
    </row>
    <row r="29" customFormat="false" ht="15" hidden="false" customHeight="false" outlineLevel="0" collapsed="false">
      <c r="B29" s="24"/>
      <c r="C29" s="15"/>
      <c r="D29" s="15"/>
      <c r="E29" s="15"/>
      <c r="F29" s="16"/>
      <c r="G29" s="16"/>
      <c r="H29" s="26"/>
    </row>
    <row r="30" customFormat="false" ht="15" hidden="false" customHeight="false" outlineLevel="0" collapsed="false">
      <c r="B30" s="24"/>
      <c r="C30" s="15"/>
      <c r="D30" s="15"/>
      <c r="E30" s="15"/>
      <c r="F30" s="16"/>
      <c r="G30" s="16"/>
      <c r="H30" s="26"/>
    </row>
    <row r="31" customFormat="false" ht="15" hidden="false" customHeight="false" outlineLevel="0" collapsed="false">
      <c r="B31" s="24"/>
      <c r="C31" s="15"/>
      <c r="D31" s="15"/>
      <c r="E31" s="15"/>
      <c r="F31" s="16"/>
      <c r="G31" s="16"/>
      <c r="H31" s="26"/>
    </row>
    <row r="32" customFormat="false" ht="15" hidden="false" customHeight="false" outlineLevel="0" collapsed="false">
      <c r="B32" s="24"/>
      <c r="C32" s="15"/>
      <c r="D32" s="15"/>
      <c r="E32" s="15"/>
      <c r="F32" s="16"/>
      <c r="G32" s="16"/>
      <c r="H32" s="26"/>
    </row>
    <row r="33" customFormat="false" ht="15" hidden="false" customHeight="false" outlineLevel="0" collapsed="false">
      <c r="B33" s="24"/>
      <c r="C33" s="15"/>
      <c r="D33" s="15"/>
      <c r="E33" s="15"/>
      <c r="F33" s="16"/>
      <c r="G33" s="16"/>
      <c r="H33" s="26"/>
    </row>
    <row r="34" customFormat="false" ht="15" hidden="false" customHeight="false" outlineLevel="0" collapsed="false">
      <c r="B34" s="24"/>
      <c r="C34" s="15"/>
      <c r="D34" s="15"/>
      <c r="E34" s="15"/>
      <c r="F34" s="16"/>
      <c r="G34" s="16"/>
      <c r="H34" s="26"/>
    </row>
    <row r="36" customFormat="false" ht="15" hidden="false" customHeight="false" outlineLevel="0" collapsed="false">
      <c r="C36" s="6" t="s">
        <v>229</v>
      </c>
      <c r="E36" s="5" t="n">
        <f aca="false">COUNTA(C5:C34)</f>
        <v>1</v>
      </c>
    </row>
    <row r="37" customFormat="false" ht="15" hidden="false" customHeight="false" outlineLevel="0" collapsed="false">
      <c r="C37" s="6" t="s">
        <v>230</v>
      </c>
      <c r="E37" s="5" t="n">
        <f aca="false">COUNTIF(G5:G34,"안 넣음")</f>
        <v>0</v>
      </c>
      <c r="F37" s="2" t="str">
        <f aca="false">IF(E37&gt;0,"받는 곳 이름이 박힌 워터마크를 넣으면 어디서 샜는지 알 수 있습니다.","")</f>
        <v/>
      </c>
    </row>
    <row r="39" customFormat="false" ht="15" hidden="false" customHeight="true" outlineLevel="0" collapsed="false">
      <c r="C39" s="22" t="s">
        <v>231</v>
      </c>
      <c r="D39" s="22"/>
      <c r="E39" s="22"/>
      <c r="F39" s="22"/>
      <c r="G39" s="22"/>
      <c r="H39" s="22"/>
    </row>
    <row r="40" customFormat="false" ht="15" hidden="false" customHeight="true" outlineLevel="0" collapsed="false">
      <c r="C40" s="22" t="s">
        <v>232</v>
      </c>
      <c r="D40" s="22"/>
      <c r="E40" s="22"/>
      <c r="F40" s="22"/>
      <c r="G40" s="22"/>
      <c r="H40" s="22"/>
    </row>
    <row r="41" customFormat="false" ht="15" hidden="false" customHeight="true" outlineLevel="0" collapsed="false">
      <c r="C41" s="22" t="s">
        <v>233</v>
      </c>
      <c r="D41" s="22"/>
      <c r="E41" s="22"/>
      <c r="F41" s="22"/>
      <c r="G41" s="22"/>
      <c r="H41" s="22"/>
    </row>
    <row r="44" customFormat="false" ht="15" hidden="false" customHeight="false" outlineLevel="0" collapsed="false">
      <c r="B44" s="9" t="s">
        <v>36</v>
      </c>
    </row>
  </sheetData>
  <mergeCells count="3">
    <mergeCell ref="C39:H39"/>
    <mergeCell ref="C40:H40"/>
    <mergeCell ref="C41:H41"/>
  </mergeCells>
  <dataValidations count="2">
    <dataValidation allowBlank="true" errorStyle="stop" operator="between" showDropDown="false" showErrorMessage="false" showInputMessage="false" sqref="F5:F34" type="list">
      <formula1>"PDF,링크(만료 설정),엑셀,대면 열람만"</formula1>
      <formula2>0</formula2>
    </dataValidation>
    <dataValidation allowBlank="true" errorStyle="stop" operator="between" showDropDown="false" showErrorMessage="false" showInputMessage="false" sqref="G5:G34" type="list">
      <formula1>"넣음,안 넣음"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2026-09-03T21:54:01Z</dcterms:created>
  <dc:creator>openpyxl</dc:creator>
  <dc:description/>
  <dc:language>en-US</dc:language>
  <cp:lastModifiedBy/>
  <dcterms:modified xsi:type="dcterms:W3CDTF">2026-09-03T21:54:01Z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